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diogomendes/Dropbox/MEOCloud/ZZZ Teaching/Corporate Finance In Global Firms/Exercise Handbook/"/>
    </mc:Choice>
  </mc:AlternateContent>
  <xr:revisionPtr revIDLastSave="0" documentId="13_ncr:1_{33FCF1E9-0AA5-DD42-BCC8-8D553BD67BB3}" xr6:coauthVersionLast="47" xr6:coauthVersionMax="47" xr10:uidLastSave="{00000000-0000-0000-0000-000000000000}"/>
  <bookViews>
    <workbookView xWindow="-1120" yWindow="-21100" windowWidth="33920" windowHeight="21100" xr2:uid="{C9FC555C-B3A8-D041-99CB-1C2D51B68183}"/>
  </bookViews>
  <sheets>
    <sheet name="Intro" sheetId="8" r:id="rId1"/>
    <sheet name="Part 1" sheetId="2" r:id="rId2"/>
    <sheet name="Part 2" sheetId="3" r:id="rId3"/>
    <sheet name="Part 3" sheetId="4" r:id="rId4"/>
    <sheet name="Part 4" sheetId="5" r:id="rId5"/>
    <sheet name="Part 5" sheetId="6" r:id="rId6"/>
    <sheet name="Part 6" sheetId="7" r:id="rId7"/>
    <sheet name="Part 7"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4" i="2" l="1"/>
  <c r="D240" i="2" s="1"/>
  <c r="E253" i="2"/>
  <c r="F254" i="2" s="1"/>
  <c r="F240" i="2" s="1"/>
  <c r="D253" i="2"/>
  <c r="D122" i="2"/>
  <c r="D125" i="2" s="1"/>
  <c r="F128" i="2" s="1"/>
  <c r="D49" i="5"/>
  <c r="D160" i="4"/>
  <c r="D161" i="4" s="1"/>
  <c r="D162" i="4" s="1"/>
  <c r="C160" i="4"/>
  <c r="C167" i="4" s="1"/>
  <c r="C178" i="4"/>
  <c r="C170" i="4"/>
  <c r="D218" i="6"/>
  <c r="E218" i="6"/>
  <c r="C218" i="6"/>
  <c r="D205" i="6"/>
  <c r="E205" i="6"/>
  <c r="C205" i="6"/>
  <c r="C184" i="6"/>
  <c r="C199" i="6"/>
  <c r="C219" i="6" s="1"/>
  <c r="C190" i="6"/>
  <c r="E198" i="6" s="1"/>
  <c r="E199" i="6" s="1"/>
  <c r="D198" i="6"/>
  <c r="D199" i="6" s="1"/>
  <c r="F202" i="3"/>
  <c r="G202" i="3"/>
  <c r="H202" i="3"/>
  <c r="I202" i="3"/>
  <c r="J202" i="3"/>
  <c r="E202" i="3"/>
  <c r="J201" i="3"/>
  <c r="I203" i="3"/>
  <c r="H203" i="3"/>
  <c r="G203" i="3"/>
  <c r="F203" i="3"/>
  <c r="E203" i="3"/>
  <c r="D205" i="3" s="1"/>
  <c r="J203" i="3"/>
  <c r="F181" i="3"/>
  <c r="G178" i="3"/>
  <c r="F187" i="3" s="1"/>
  <c r="F188" i="3" s="1"/>
  <c r="C173" i="3"/>
  <c r="C174" i="3" s="1"/>
  <c r="C172" i="3"/>
  <c r="E254" i="2" l="1"/>
  <c r="E240" i="2" s="1"/>
  <c r="C206" i="6"/>
  <c r="C208" i="6" s="1"/>
  <c r="D175" i="4"/>
  <c r="C171" i="4"/>
  <c r="C161" i="4"/>
  <c r="C162" i="4" s="1"/>
  <c r="D219" i="6"/>
  <c r="D206" i="6"/>
  <c r="E219" i="6"/>
  <c r="C221" i="6" s="1"/>
  <c r="E206" i="6"/>
  <c r="E187" i="3"/>
  <c r="E188" i="3" s="1"/>
  <c r="M187" i="3"/>
  <c r="M188" i="3" s="1"/>
  <c r="K187" i="3"/>
  <c r="K188" i="3" s="1"/>
  <c r="J187" i="3"/>
  <c r="J188" i="3" s="1"/>
  <c r="I187" i="3"/>
  <c r="I188" i="3" s="1"/>
  <c r="P187" i="3"/>
  <c r="P188" i="3" s="1"/>
  <c r="O187" i="3"/>
  <c r="O188" i="3" s="1"/>
  <c r="N187" i="3"/>
  <c r="N188" i="3" s="1"/>
  <c r="L187" i="3"/>
  <c r="L188" i="3" s="1"/>
  <c r="H187" i="3"/>
  <c r="H188" i="3" s="1"/>
  <c r="G187" i="3"/>
  <c r="G188" i="3" s="1"/>
  <c r="D189" i="3"/>
  <c r="C195" i="3" s="1"/>
  <c r="C198" i="3" s="1"/>
  <c r="C269" i="5" l="1"/>
  <c r="C271" i="5" s="1"/>
  <c r="C272" i="5" s="1"/>
  <c r="C273" i="5" s="1"/>
  <c r="D269" i="5"/>
  <c r="E269" i="5"/>
  <c r="F269" i="5"/>
  <c r="D270" i="5"/>
  <c r="E270" i="5"/>
  <c r="E275" i="5" s="1"/>
  <c r="F270" i="5"/>
  <c r="F275" i="5" s="1"/>
  <c r="C279" i="5"/>
  <c r="C280" i="5" s="1"/>
  <c r="C281" i="5" s="1"/>
  <c r="D279" i="5"/>
  <c r="E279" i="5"/>
  <c r="F279" i="5"/>
  <c r="F280" i="5" s="1"/>
  <c r="D136" i="5"/>
  <c r="D110" i="5"/>
  <c r="C113" i="2"/>
  <c r="E113" i="2"/>
  <c r="D113" i="2"/>
  <c r="C283" i="5" l="1"/>
  <c r="D275" i="5"/>
  <c r="F278" i="5"/>
  <c r="E280" i="5"/>
  <c r="E281" i="5" s="1"/>
  <c r="F271" i="5"/>
  <c r="F272" i="5" s="1"/>
  <c r="D271" i="5"/>
  <c r="D272" i="5" s="1"/>
  <c r="D273" i="5" s="1"/>
  <c r="F281" i="5"/>
  <c r="D280" i="5"/>
  <c r="D281" i="5" s="1"/>
  <c r="E271" i="5"/>
  <c r="F292" i="5"/>
  <c r="E295" i="5" s="1"/>
  <c r="F273" i="5" l="1"/>
  <c r="F283" i="5" s="1"/>
  <c r="E272" i="5"/>
  <c r="E273" i="5" s="1"/>
  <c r="E283" i="5" s="1"/>
  <c r="F307" i="5"/>
  <c r="F309" i="5" s="1"/>
  <c r="C300" i="5"/>
  <c r="E300" i="5"/>
  <c r="F300" i="5"/>
  <c r="D300" i="5"/>
  <c r="D124" i="5"/>
  <c r="D137" i="5"/>
  <c r="C133" i="5"/>
  <c r="C134" i="5" s="1"/>
  <c r="F136" i="5" s="1"/>
  <c r="D125" i="5"/>
  <c r="F124" i="5"/>
  <c r="F125" i="5" s="1"/>
  <c r="E118" i="5"/>
  <c r="E114" i="5"/>
  <c r="D107" i="5"/>
  <c r="D41" i="5"/>
  <c r="D40" i="5"/>
  <c r="C26" i="5"/>
  <c r="C27" i="5" s="1"/>
  <c r="C11" i="5"/>
  <c r="C12" i="5" s="1"/>
  <c r="D20" i="5"/>
  <c r="D23" i="5" s="1"/>
  <c r="F311" i="5" l="1"/>
  <c r="D314" i="5" s="1"/>
  <c r="D42" i="5"/>
  <c r="D45" i="5" s="1"/>
  <c r="D47" i="5" s="1"/>
  <c r="F314" i="5"/>
  <c r="C314" i="5"/>
  <c r="E314" i="5"/>
  <c r="D283" i="5"/>
  <c r="D299" i="5" s="1"/>
  <c r="D301" i="5" s="1"/>
  <c r="F299" i="5"/>
  <c r="F301" i="5" s="1"/>
  <c r="E313" i="5"/>
  <c r="E299" i="5"/>
  <c r="E301" i="5" s="1"/>
  <c r="C299" i="5"/>
  <c r="C301" i="5" s="1"/>
  <c r="C313" i="5"/>
  <c r="F137" i="5"/>
  <c r="D14" i="5"/>
  <c r="D30" i="5"/>
  <c r="F78" i="5"/>
  <c r="F81" i="5" s="1"/>
  <c r="F64" i="5"/>
  <c r="F66" i="5" s="1"/>
  <c r="C315" i="5" l="1"/>
  <c r="E315" i="5"/>
  <c r="D313" i="5"/>
  <c r="D315" i="5" s="1"/>
  <c r="F313" i="5"/>
  <c r="F315" i="5" s="1"/>
  <c r="C303" i="5"/>
  <c r="D206" i="4"/>
  <c r="C201" i="4"/>
  <c r="C199" i="4"/>
  <c r="C148" i="4"/>
  <c r="C142" i="4"/>
  <c r="C139" i="4"/>
  <c r="C120" i="4"/>
  <c r="D122" i="4" s="1"/>
  <c r="E69" i="4"/>
  <c r="F69" i="4" s="1"/>
  <c r="E70" i="4"/>
  <c r="F70" i="4" s="1"/>
  <c r="E68" i="4"/>
  <c r="F68" i="4" s="1"/>
  <c r="D69" i="4"/>
  <c r="E58" i="4"/>
  <c r="F58" i="4" s="1"/>
  <c r="E57" i="4"/>
  <c r="F57" i="4" s="1"/>
  <c r="E56" i="4"/>
  <c r="F56" i="4" s="1"/>
  <c r="D58" i="4"/>
  <c r="D70" i="4" s="1"/>
  <c r="D57" i="4"/>
  <c r="D56" i="4"/>
  <c r="D60" i="4" s="1"/>
  <c r="C27" i="4"/>
  <c r="D27" i="4" s="1"/>
  <c r="D33" i="4" s="1"/>
  <c r="C28" i="4"/>
  <c r="D28" i="4" s="1"/>
  <c r="D34" i="4" s="1"/>
  <c r="C29" i="4"/>
  <c r="D29" i="4" s="1"/>
  <c r="D35" i="4" s="1"/>
  <c r="D61" i="4" l="1"/>
  <c r="D62" i="4" s="1"/>
  <c r="C79" i="4" s="1"/>
  <c r="C317" i="5"/>
  <c r="C145" i="4"/>
  <c r="D73" i="4"/>
  <c r="D74" i="4" s="1"/>
  <c r="D68" i="4"/>
  <c r="D72" i="4" s="1"/>
  <c r="D36" i="4"/>
  <c r="C30" i="4"/>
  <c r="C80" i="4" l="1"/>
  <c r="C44" i="4"/>
  <c r="C40" i="4"/>
  <c r="C43" i="4"/>
  <c r="C42" i="4"/>
  <c r="F69" i="7" l="1"/>
  <c r="F67" i="7"/>
  <c r="F70" i="7" s="1"/>
  <c r="F72" i="7" s="1"/>
  <c r="J65" i="7"/>
  <c r="E33" i="7"/>
  <c r="I31" i="7"/>
  <c r="G29" i="7"/>
  <c r="G23" i="7"/>
  <c r="D8" i="7"/>
  <c r="F34" i="7" l="1"/>
  <c r="D35" i="9"/>
  <c r="G32" i="9"/>
  <c r="C162" i="6" l="1"/>
  <c r="E166" i="6" s="1"/>
  <c r="D153" i="6"/>
  <c r="E153" i="6"/>
  <c r="F153" i="6"/>
  <c r="G153" i="6"/>
  <c r="C153" i="6"/>
  <c r="D150" i="6"/>
  <c r="E150" i="6" s="1"/>
  <c r="F150" i="6" s="1"/>
  <c r="G150" i="6" s="1"/>
  <c r="D148" i="6"/>
  <c r="D164" i="6" s="1"/>
  <c r="E148" i="6"/>
  <c r="E164" i="6" s="1"/>
  <c r="F148" i="6"/>
  <c r="F164" i="6" s="1"/>
  <c r="G148" i="6"/>
  <c r="C148" i="6"/>
  <c r="C164" i="6" s="1"/>
  <c r="D123" i="6"/>
  <c r="D125" i="6" s="1"/>
  <c r="D129" i="6" s="1"/>
  <c r="F131" i="6"/>
  <c r="E131" i="6"/>
  <c r="D131" i="6"/>
  <c r="C131" i="6"/>
  <c r="C129" i="6"/>
  <c r="C125" i="6"/>
  <c r="F122" i="6"/>
  <c r="F123" i="6" s="1"/>
  <c r="E122" i="6"/>
  <c r="E123" i="6" s="1"/>
  <c r="D122" i="6"/>
  <c r="D113" i="6"/>
  <c r="E113" i="6"/>
  <c r="F113" i="6"/>
  <c r="C113" i="6"/>
  <c r="C111" i="6"/>
  <c r="C107" i="6"/>
  <c r="E104" i="6"/>
  <c r="E105" i="6" s="1"/>
  <c r="E107" i="6" s="1"/>
  <c r="E111" i="6" s="1"/>
  <c r="E114" i="6" s="1"/>
  <c r="F104" i="6"/>
  <c r="F105" i="6" s="1"/>
  <c r="D104" i="6"/>
  <c r="D105" i="6" s="1"/>
  <c r="D107" i="6" s="1"/>
  <c r="D111" i="6" s="1"/>
  <c r="D114" i="6" s="1"/>
  <c r="D83" i="6"/>
  <c r="D82" i="6"/>
  <c r="E74" i="6"/>
  <c r="E70" i="6"/>
  <c r="E167" i="6" l="1"/>
  <c r="C114" i="6"/>
  <c r="G151" i="6"/>
  <c r="G154" i="6" s="1"/>
  <c r="D132" i="6"/>
  <c r="F151" i="6"/>
  <c r="F154" i="6" s="1"/>
  <c r="G164" i="6"/>
  <c r="C166" i="6"/>
  <c r="C167" i="6" s="1"/>
  <c r="D166" i="6"/>
  <c r="D167" i="6" s="1"/>
  <c r="F106" i="6"/>
  <c r="F107" i="6" s="1"/>
  <c r="F111" i="6" s="1"/>
  <c r="F114" i="6" s="1"/>
  <c r="C116" i="6" s="1"/>
  <c r="E151" i="6"/>
  <c r="E154" i="6" s="1"/>
  <c r="G166" i="6"/>
  <c r="C132" i="6"/>
  <c r="C151" i="6"/>
  <c r="C154" i="6" s="1"/>
  <c r="D151" i="6"/>
  <c r="D154" i="6" s="1"/>
  <c r="F166" i="6"/>
  <c r="F167" i="6" s="1"/>
  <c r="E125" i="6"/>
  <c r="E129" i="6" s="1"/>
  <c r="E132" i="6" s="1"/>
  <c r="F125" i="6"/>
  <c r="F129" i="6" s="1"/>
  <c r="F132" i="6" s="1"/>
  <c r="I32" i="6"/>
  <c r="H30" i="6"/>
  <c r="D63" i="6"/>
  <c r="D60" i="6"/>
  <c r="D57" i="6"/>
  <c r="C134" i="6" l="1"/>
  <c r="C156" i="6"/>
  <c r="G167" i="6"/>
  <c r="C169" i="6" s="1"/>
  <c r="C171" i="6" s="1"/>
  <c r="F50" i="6"/>
  <c r="D35" i="6"/>
  <c r="D20" i="6"/>
  <c r="C20" i="6"/>
  <c r="F325" i="3" l="1"/>
  <c r="C309" i="3"/>
  <c r="C304" i="3"/>
  <c r="G292" i="3"/>
  <c r="C294" i="3" s="1"/>
  <c r="C290" i="3"/>
  <c r="E288" i="3"/>
  <c r="E163" i="3"/>
  <c r="C165" i="3" s="1"/>
  <c r="C149" i="3"/>
  <c r="I142" i="3"/>
  <c r="C150" i="3" s="1"/>
  <c r="D140" i="3"/>
  <c r="D137" i="3"/>
  <c r="D134" i="3"/>
  <c r="D131" i="3"/>
  <c r="F37" i="3"/>
  <c r="F33" i="3"/>
  <c r="F27" i="3"/>
  <c r="E9" i="3"/>
  <c r="E7" i="3"/>
  <c r="C331" i="3" l="1"/>
  <c r="C296" i="3"/>
  <c r="D244" i="3"/>
  <c r="I235" i="3"/>
  <c r="C233" i="3"/>
  <c r="C276" i="3"/>
  <c r="E255" i="3"/>
  <c r="F255" i="3" s="1"/>
  <c r="G255" i="3" s="1"/>
  <c r="H255" i="3" s="1"/>
  <c r="I255" i="3" s="1"/>
  <c r="J255" i="3" s="1"/>
  <c r="C258" i="3" s="1"/>
  <c r="C265" i="3" s="1"/>
  <c r="C266" i="3" s="1"/>
  <c r="D225" i="3"/>
  <c r="E225" i="3"/>
  <c r="F225" i="3"/>
  <c r="G225" i="3"/>
  <c r="E18" i="3"/>
  <c r="D18" i="3"/>
  <c r="C19" i="3"/>
  <c r="F18" i="3"/>
  <c r="G16" i="3"/>
  <c r="H342" i="2" l="1"/>
  <c r="E340" i="2"/>
  <c r="D335" i="2"/>
  <c r="C108" i="2"/>
  <c r="C114" i="2" s="1"/>
  <c r="E108" i="2"/>
  <c r="E114" i="2" s="1"/>
  <c r="D108" i="2"/>
  <c r="D114" i="2" s="1"/>
  <c r="C323" i="2" l="1"/>
  <c r="D323" i="2" s="1"/>
  <c r="C320" i="2"/>
  <c r="D320" i="2" s="1"/>
  <c r="E320" i="2" s="1"/>
  <c r="F320" i="2" s="1"/>
  <c r="G320" i="2" s="1"/>
  <c r="H320" i="2" s="1"/>
  <c r="I320" i="2" s="1"/>
  <c r="J320" i="2" s="1"/>
  <c r="K320" i="2" s="1"/>
  <c r="L320" i="2" s="1"/>
  <c r="M320" i="2" s="1"/>
  <c r="N320" i="2" s="1"/>
  <c r="O320" i="2" s="1"/>
  <c r="P320" i="2" s="1"/>
  <c r="Q320" i="2" s="1"/>
  <c r="R320" i="2" s="1"/>
  <c r="E322" i="2"/>
  <c r="F322" i="2" s="1"/>
  <c r="C297" i="2"/>
  <c r="D298" i="2"/>
  <c r="E298" i="2"/>
  <c r="F298" i="2"/>
  <c r="G298" i="2"/>
  <c r="H298" i="2"/>
  <c r="I298" i="2"/>
  <c r="J298" i="2"/>
  <c r="K298" i="2"/>
  <c r="L298" i="2"/>
  <c r="M298" i="2"/>
  <c r="C298" i="2"/>
  <c r="D297" i="2"/>
  <c r="E297" i="2"/>
  <c r="F297" i="2"/>
  <c r="G297" i="2"/>
  <c r="H297" i="2"/>
  <c r="I297" i="2"/>
  <c r="J297" i="2"/>
  <c r="K297" i="2"/>
  <c r="L297" i="2"/>
  <c r="M297" i="2"/>
  <c r="M278" i="2"/>
  <c r="L278" i="2"/>
  <c r="K278" i="2"/>
  <c r="J278" i="2"/>
  <c r="I278" i="2"/>
  <c r="H278" i="2"/>
  <c r="G278" i="2"/>
  <c r="F278" i="2"/>
  <c r="E278" i="2"/>
  <c r="D278" i="2"/>
  <c r="L264" i="2"/>
  <c r="L267" i="2" s="1"/>
  <c r="K264" i="2"/>
  <c r="K267" i="2" s="1"/>
  <c r="J264" i="2"/>
  <c r="I264" i="2"/>
  <c r="H264" i="2"/>
  <c r="H267" i="2" s="1"/>
  <c r="G264" i="2"/>
  <c r="G267" i="2" s="1"/>
  <c r="F264" i="2"/>
  <c r="E264" i="2"/>
  <c r="E267" i="2" s="1"/>
  <c r="D264" i="2"/>
  <c r="D267" i="2" s="1"/>
  <c r="C264" i="2"/>
  <c r="D246" i="2"/>
  <c r="E246" i="2"/>
  <c r="F246" i="2"/>
  <c r="C246" i="2"/>
  <c r="C243" i="2"/>
  <c r="F232" i="2"/>
  <c r="F234" i="2" s="1"/>
  <c r="E232" i="2"/>
  <c r="E234" i="2" s="1"/>
  <c r="E235" i="2" s="1"/>
  <c r="D232" i="2"/>
  <c r="D234" i="2" s="1"/>
  <c r="D210" i="2"/>
  <c r="E210" i="2"/>
  <c r="F210" i="2"/>
  <c r="G210" i="2"/>
  <c r="H210" i="2"/>
  <c r="C210" i="2"/>
  <c r="D219" i="2"/>
  <c r="E219" i="2"/>
  <c r="F219" i="2"/>
  <c r="G219" i="2"/>
  <c r="H219" i="2"/>
  <c r="C219" i="2"/>
  <c r="C214" i="2"/>
  <c r="D214" i="2" s="1"/>
  <c r="E214" i="2" s="1"/>
  <c r="F214" i="2" s="1"/>
  <c r="G214" i="2" s="1"/>
  <c r="H214" i="2" s="1"/>
  <c r="F200" i="2"/>
  <c r="F189" i="2"/>
  <c r="F180" i="2"/>
  <c r="F179" i="2"/>
  <c r="D171" i="2"/>
  <c r="E171" i="2"/>
  <c r="F171" i="2"/>
  <c r="G171" i="2"/>
  <c r="H171" i="2"/>
  <c r="I171" i="2"/>
  <c r="J171" i="2"/>
  <c r="K171" i="2"/>
  <c r="L171" i="2"/>
  <c r="M171" i="2"/>
  <c r="N171" i="2"/>
  <c r="O171" i="2"/>
  <c r="P171" i="2"/>
  <c r="Q171" i="2"/>
  <c r="R171" i="2"/>
  <c r="C171" i="2"/>
  <c r="D167" i="2"/>
  <c r="E167" i="2"/>
  <c r="F167" i="2"/>
  <c r="G167" i="2"/>
  <c r="H167" i="2"/>
  <c r="I167" i="2"/>
  <c r="J167" i="2"/>
  <c r="K167" i="2"/>
  <c r="L167" i="2"/>
  <c r="M167" i="2"/>
  <c r="N167" i="2"/>
  <c r="N172" i="2" s="1"/>
  <c r="O167" i="2"/>
  <c r="P167" i="2"/>
  <c r="Q167" i="2"/>
  <c r="R167" i="2"/>
  <c r="C167" i="2"/>
  <c r="P172" i="2" l="1"/>
  <c r="L172" i="2"/>
  <c r="H172" i="2"/>
  <c r="J267" i="2"/>
  <c r="J268" i="2" s="1"/>
  <c r="C267" i="2"/>
  <c r="C268" i="2" s="1"/>
  <c r="I267" i="2"/>
  <c r="M172" i="2"/>
  <c r="F267" i="2"/>
  <c r="F268" i="2" s="1"/>
  <c r="Q172" i="2"/>
  <c r="C269" i="2"/>
  <c r="G268" i="2"/>
  <c r="K268" i="2"/>
  <c r="H268" i="2"/>
  <c r="H269" i="2" s="1"/>
  <c r="I275" i="2" s="1"/>
  <c r="I283" i="2" s="1"/>
  <c r="L268" i="2"/>
  <c r="L269" i="2" s="1"/>
  <c r="M275" i="2" s="1"/>
  <c r="M283" i="2" s="1"/>
  <c r="E268" i="2"/>
  <c r="D268" i="2"/>
  <c r="R172" i="2"/>
  <c r="J172" i="2"/>
  <c r="K172" i="2"/>
  <c r="I172" i="2"/>
  <c r="G172" i="2"/>
  <c r="F172" i="2"/>
  <c r="C172" i="2"/>
  <c r="O172" i="2"/>
  <c r="E172" i="2"/>
  <c r="D172" i="2"/>
  <c r="E323" i="2"/>
  <c r="F323" i="2" s="1"/>
  <c r="C282" i="2"/>
  <c r="C283" i="2" s="1"/>
  <c r="G322" i="2"/>
  <c r="H322" i="2" s="1"/>
  <c r="I322" i="2" s="1"/>
  <c r="J322" i="2" s="1"/>
  <c r="K322" i="2" s="1"/>
  <c r="L322" i="2" s="1"/>
  <c r="M322" i="2" s="1"/>
  <c r="N322" i="2" s="1"/>
  <c r="O322" i="2" s="1"/>
  <c r="P322" i="2" s="1"/>
  <c r="Q322" i="2" s="1"/>
  <c r="R322" i="2" s="1"/>
  <c r="C247" i="2"/>
  <c r="I268" i="2"/>
  <c r="F235" i="2"/>
  <c r="F236" i="2" s="1"/>
  <c r="D235" i="2"/>
  <c r="D236" i="2" s="1"/>
  <c r="E236" i="2"/>
  <c r="F220" i="2"/>
  <c r="G220" i="2"/>
  <c r="C220" i="2"/>
  <c r="E220" i="2"/>
  <c r="H220" i="2"/>
  <c r="D220" i="2"/>
  <c r="F182" i="2"/>
  <c r="E247" i="2" l="1"/>
  <c r="E243" i="2"/>
  <c r="F243" i="2"/>
  <c r="F247" i="2" s="1"/>
  <c r="C249" i="2" s="1"/>
  <c r="D247" i="2"/>
  <c r="D243" i="2"/>
  <c r="C174" i="2"/>
  <c r="D269" i="2"/>
  <c r="E275" i="2" s="1"/>
  <c r="E283" i="2" s="1"/>
  <c r="G269" i="2"/>
  <c r="H275" i="2" s="1"/>
  <c r="H283" i="2" s="1"/>
  <c r="K269" i="2"/>
  <c r="L275" i="2" s="1"/>
  <c r="L283" i="2" s="1"/>
  <c r="E269" i="2"/>
  <c r="F275" i="2" s="1"/>
  <c r="F283" i="2" s="1"/>
  <c r="G323" i="2"/>
  <c r="H323" i="2" s="1"/>
  <c r="I323" i="2" s="1"/>
  <c r="J323" i="2" s="1"/>
  <c r="K323" i="2" s="1"/>
  <c r="L323" i="2" s="1"/>
  <c r="M323" i="2" s="1"/>
  <c r="N323" i="2" s="1"/>
  <c r="O323" i="2" s="1"/>
  <c r="P323" i="2" s="1"/>
  <c r="Q323" i="2" s="1"/>
  <c r="R323" i="2" s="1"/>
  <c r="C222" i="2"/>
  <c r="D275" i="2"/>
  <c r="J269" i="2"/>
  <c r="K275" i="2" s="1"/>
  <c r="K283" i="2" s="1"/>
  <c r="F269" i="2"/>
  <c r="G275" i="2" s="1"/>
  <c r="G283" i="2" s="1"/>
  <c r="I269" i="2"/>
  <c r="J275" i="2" s="1"/>
  <c r="J283" i="2" s="1"/>
  <c r="D283" i="2" l="1"/>
  <c r="C288" i="2" s="1"/>
  <c r="G158" i="2" l="1"/>
  <c r="D146" i="2"/>
  <c r="D138" i="2"/>
  <c r="D142" i="2" s="1"/>
  <c r="F97" i="2"/>
  <c r="J91" i="2"/>
  <c r="J92" i="2" s="1"/>
  <c r="K91" i="2"/>
  <c r="K92" i="2" s="1"/>
  <c r="L91" i="2"/>
  <c r="L92" i="2" s="1"/>
  <c r="M91" i="2"/>
  <c r="M92" i="2" s="1"/>
  <c r="N91" i="2"/>
  <c r="N92" i="2" s="1"/>
  <c r="O91" i="2"/>
  <c r="O92" i="2" s="1"/>
  <c r="P91" i="2"/>
  <c r="P92" i="2" s="1"/>
  <c r="Q91" i="2"/>
  <c r="Q92" i="2" s="1"/>
  <c r="R91" i="2"/>
  <c r="R92" i="2" s="1"/>
  <c r="S91" i="2"/>
  <c r="S92" i="2" s="1"/>
  <c r="F79" i="2"/>
  <c r="F80" i="2" s="1"/>
  <c r="G79" i="2"/>
  <c r="G80" i="2" s="1"/>
  <c r="H79" i="2"/>
  <c r="H80" i="2" s="1"/>
  <c r="I79" i="2"/>
  <c r="I80" i="2" s="1"/>
  <c r="J79" i="2"/>
  <c r="J80" i="2" s="1"/>
  <c r="K79" i="2"/>
  <c r="K80" i="2" s="1"/>
  <c r="L79" i="2"/>
  <c r="L80" i="2" s="1"/>
  <c r="M79" i="2"/>
  <c r="M80" i="2" s="1"/>
  <c r="N79" i="2"/>
  <c r="N80" i="2" s="1"/>
  <c r="E79" i="2"/>
  <c r="E80" i="2" s="1"/>
  <c r="E85" i="2"/>
  <c r="I70" i="2"/>
  <c r="C39" i="2"/>
  <c r="C40" i="2"/>
  <c r="C41" i="2"/>
  <c r="C42" i="2"/>
  <c r="C43" i="2"/>
  <c r="C44" i="2"/>
  <c r="C45" i="2"/>
  <c r="C46" i="2"/>
  <c r="C47" i="2"/>
  <c r="C48" i="2"/>
  <c r="C49" i="2"/>
  <c r="C50" i="2"/>
  <c r="C51" i="2"/>
  <c r="C52" i="2"/>
  <c r="C53" i="2"/>
  <c r="C54" i="2"/>
  <c r="C55" i="2"/>
  <c r="C56" i="2"/>
  <c r="C57" i="2"/>
  <c r="C58" i="2"/>
  <c r="C59" i="2"/>
  <c r="C60" i="2"/>
  <c r="C61" i="2"/>
  <c r="C62" i="2"/>
  <c r="C63" i="2"/>
  <c r="C38" i="2"/>
  <c r="D30" i="2"/>
  <c r="C21" i="2"/>
  <c r="C23" i="2"/>
  <c r="C19" i="2"/>
  <c r="C9" i="2"/>
  <c r="C7" i="2"/>
  <c r="C5" i="2"/>
  <c r="J148" i="2" l="1"/>
  <c r="D94" i="2"/>
  <c r="D82" i="2"/>
</calcChain>
</file>

<file path=xl/sharedStrings.xml><?xml version="1.0" encoding="utf-8"?>
<sst xmlns="http://schemas.openxmlformats.org/spreadsheetml/2006/main" count="1164" uniqueCount="810">
  <si>
    <t>Course: 6123 - Corporate Finance in Global Firms</t>
  </si>
  <si>
    <t>Solutions to Exercise Handbook</t>
  </si>
  <si>
    <t>Diogo Mendes</t>
  </si>
  <si>
    <t>Part 1: Time Value of Money; Interest Rates; Cash Flows Determination; Investment Decision Rules</t>
  </si>
  <si>
    <t>a</t>
  </si>
  <si>
    <t>b</t>
  </si>
  <si>
    <t>c</t>
  </si>
  <si>
    <t>Formula</t>
  </si>
  <si>
    <t>Result</t>
  </si>
  <si>
    <t>=1000*(1+0.07)^5</t>
  </si>
  <si>
    <t>=1000*(1+0.1)^5</t>
  </si>
  <si>
    <t>=1000*(1+0.07)^10</t>
  </si>
  <si>
    <t>d</t>
  </si>
  <si>
    <t>The interest in (c) is more than twice the one in (a) because the interest is also being compounded during five more years in (c), i.e., for the second period of five years the initial value we are considering is €1,402.55 instead of €1,000.</t>
  </si>
  <si>
    <t>=1000/(1+0.1)^2</t>
  </si>
  <si>
    <t>=10000/(1+0.1)^8</t>
  </si>
  <si>
    <t>=2000/(1+0.1)^1</t>
  </si>
  <si>
    <t>NPV = -60 000 + 70 000/(1+0.1)^1</t>
  </si>
  <si>
    <t>As NPV &gt;0, it is profitable to sign the contract.</t>
  </si>
  <si>
    <t>NPV &gt; 0 &lt;=&gt; -60 000 + 70 000/(1+r)^1 &gt; 0 &lt;=&gt; r &lt; 16.67 %</t>
  </si>
  <si>
    <t>Graphical inspection:</t>
  </si>
  <si>
    <t>r</t>
  </si>
  <si>
    <t>NPV</t>
  </si>
  <si>
    <t>FV = 100 000 * (1+0.12)^6 + 100 000 * (1+0.12)^5 + 100 000 * (1+0.12)^4 + 100 000 * (1+0.12)^3 =</t>
  </si>
  <si>
    <t>PV (Annuity) = 300 / 0.1 * [1-(1/(1+0.1)^10)] =</t>
  </si>
  <si>
    <t>Method 1: discount each individual cash flow</t>
  </si>
  <si>
    <t>Period</t>
  </si>
  <si>
    <t>Cash Flow</t>
  </si>
  <si>
    <t>Discount Factor</t>
  </si>
  <si>
    <t xml:space="preserve">PV </t>
  </si>
  <si>
    <t>Discounted Cash Flow</t>
  </si>
  <si>
    <t>PV (Annuity) = [300 / 0.1 * [1-(1/(1+0.1)^10)]] / [(1+0.1)^5] =</t>
  </si>
  <si>
    <t xml:space="preserve">Although the stated annual interest rate is 5%, the effective annual interest rate should be higher due to the semi-annual compounding. </t>
  </si>
  <si>
    <t>To calculate the effective annual interest rate, we need to calculate the proportional interest rate per semester first.</t>
  </si>
  <si>
    <t>r_proportional=5%/2 periods = 2.5%</t>
  </si>
  <si>
    <t>Effective interest rate = (1+0.025)^2 -1 =</t>
  </si>
  <si>
    <t>(Notice that the effective interest rate is higher than 5%. )</t>
  </si>
  <si>
    <t>FV = 10 000 * (1+5.06%)^10 =</t>
  </si>
  <si>
    <t>Method 1: compute the effective interest rate</t>
  </si>
  <si>
    <t>Method 2: use the proportional interest rate</t>
  </si>
  <si>
    <t>FV = 10 000 * (1+2.5%)^20 =</t>
  </si>
  <si>
    <t>FV = 10 000 * (1+5.06%)^t = 20 000 &lt;=&gt; (1+5.06%)^t = 2 &lt;=&gt; ln[(1+5.06%)^t] = ln[2] &lt;=&gt; t = ln[2] / ln[1+5.06%] &lt;=&gt; t =</t>
  </si>
  <si>
    <t>With semester compounding, it will take 14.5 years to double the amount invested.</t>
  </si>
  <si>
    <t>Please see a)</t>
  </si>
  <si>
    <t>We already know that a 5% stated annual rate with semi-annual compounding yields a 5.06% effective annual rate.</t>
  </si>
  <si>
    <t>The equivalent stated annual (r*) with daily compunding would be such that:</t>
  </si>
  <si>
    <t>(1 + r*/365)^365 = 1+ 5.06% &lt;=&gt;  r* = ( 1.0506^(1/365) -1 ) * 365 &lt;=&gt; r* =</t>
  </si>
  <si>
    <t>Cost of Development</t>
  </si>
  <si>
    <t>Revenue</t>
  </si>
  <si>
    <t>Cash Flows</t>
  </si>
  <si>
    <t>Discounted Cash Flows</t>
  </si>
  <si>
    <t>Method 1: Discount cash flows individually</t>
  </si>
  <si>
    <t>Method 2: Use the perpetuity formula</t>
  </si>
  <si>
    <t xml:space="preserve">PV (development costs) = -225000/0.09 * (1-1/(1+0.09)^7) = </t>
  </si>
  <si>
    <t xml:space="preserve">PV (revenues) = [430000/0.09 * (1-1/(1+0.09)^8) ] /(1+0.09)^7 = </t>
  </si>
  <si>
    <t xml:space="preserve">We can estimate this NPV with two annuities. In order to find the correct value, we must consider two tricks: (1) The value of the second annuity must be discounted back to 0 since it starts in year 8; (2) the first annuity was an investment, so its value will get a negative sign. </t>
  </si>
  <si>
    <t>Since the NPV&gt;0, we should take the project.</t>
  </si>
  <si>
    <t xml:space="preserve">We want to find the Internal Rate of Return, i.e., the discount rate from which the NPV becomes negative. </t>
  </si>
  <si>
    <t>NPV (we want this cell to be zero)</t>
  </si>
  <si>
    <t>IRR (we want to adjust this cell to get zero NPV)</t>
  </si>
  <si>
    <t xml:space="preserve">We can try trial and error, graphical inspection or use Excel Goal Seek Function. Here we will use the latter. </t>
  </si>
  <si>
    <t>There is yet another alternative method:  IRR function in excel.</t>
  </si>
  <si>
    <t>The IRR of this project is 11.08%.</t>
  </si>
  <si>
    <t xml:space="preserve">As 12% is higher than the IRR, the NPV should be negative. </t>
  </si>
  <si>
    <t>To verify this answer, we can compute the NPV when r=12%:</t>
  </si>
  <si>
    <t>Discount Rate</t>
  </si>
  <si>
    <t>Investment</t>
  </si>
  <si>
    <t>To compute the payback period, we should compute the commulative cash flows:</t>
  </si>
  <si>
    <t>Investors 'break-even' on the investment during the fourth year. Therefore, the studio will not accept the investment.</t>
  </si>
  <si>
    <t>Although the movie has a positive NPV,  as the studio takes on only projects that are payed back within 2 years they will not accept your movie. In this case the studio foregos a positive NPV opportunity.</t>
  </si>
  <si>
    <t>Year</t>
  </si>
  <si>
    <t>Sales</t>
  </si>
  <si>
    <t>- Cost of Goods Sold (50% of Sales)</t>
  </si>
  <si>
    <t>-Depreciation</t>
  </si>
  <si>
    <t>=EBIT</t>
  </si>
  <si>
    <t>-Taxes (35 %)</t>
  </si>
  <si>
    <t>=Unlevered net income</t>
  </si>
  <si>
    <t>Cash flows</t>
  </si>
  <si>
    <t>+Depreciation</t>
  </si>
  <si>
    <t>-Capital expenditures</t>
  </si>
  <si>
    <t>=Free cash flow</t>
  </si>
  <si>
    <t>Discounted FCF</t>
  </si>
  <si>
    <t>Income statement</t>
  </si>
  <si>
    <t>Project year</t>
  </si>
  <si>
    <t>Items</t>
  </si>
  <si>
    <t>Sales revenue</t>
  </si>
  <si>
    <t>-Cost of goods sold</t>
  </si>
  <si>
    <t>=Gross profit</t>
  </si>
  <si>
    <t>-General, sales, and admin expenses</t>
  </si>
  <si>
    <t>-Income tax</t>
  </si>
  <si>
    <t>=Net income</t>
  </si>
  <si>
    <t>Cash flow statement</t>
  </si>
  <si>
    <t>Operating activity</t>
  </si>
  <si>
    <t>-Inc.in working capital</t>
  </si>
  <si>
    <t>Investment activity</t>
  </si>
  <si>
    <t>-CAPEX</t>
  </si>
  <si>
    <t>FCF</t>
  </si>
  <si>
    <t>Tax</t>
  </si>
  <si>
    <t>Project A</t>
  </si>
  <si>
    <t>Project B</t>
  </si>
  <si>
    <t>IRR</t>
  </si>
  <si>
    <t>-20+2/IRR = 0 &lt;=&gt; IRR = 1/10 = 0.1</t>
  </si>
  <si>
    <t>-20+1.5/(IRR - 0.02) = 0 &lt;=&gt; IRR = 1.5/20 + 0.02 =0.095</t>
  </si>
  <si>
    <t>We can see that at 8% both projects have the same NPV. In this point both projects are equally valued with 5 mil. If r&gt;8% then we prefer project A and if r&lt;8% we prefer project B. If r&gt;=0.11 (actually higher than IRR) we should not invest in any of the projects. From the graph we can also see the IRR of the projects as we just need to read the value were the two lines cross the zero line or where the NPV is 0 in the table. So the IRR of project A is between 10% and of project B it is between 9 and 10%. Analytically we can solve the perpetuity formula for r and calculate the IRRs.</t>
  </si>
  <si>
    <t>If we use the higher IRR as the criterion, we always choose project A. However, it yields a higher NPV only if the cost of capital is of at least 8%. 
So the decision rule of the higher IRR is only correct if the cost of capital is high enough in this example.</t>
  </si>
  <si>
    <t>Payback</t>
  </si>
  <si>
    <t>Cummulative cash flows:</t>
  </si>
  <si>
    <t>Cummulative cash flows</t>
  </si>
  <si>
    <t>...</t>
  </si>
  <si>
    <t>In the table we can see the returns in the first 15 years of the projects and the cumulated returns. If we apply the payback rule project A has a payback period of 10 years while project B has a payback period of 12 years, as it takes that long for the cummulated return to off-set the initial level of costs. So with this rule we would decide for Project A.</t>
  </si>
  <si>
    <t>a &amp; b</t>
  </si>
  <si>
    <t>To compare the three accounts, we need to calculate their EAR.</t>
  </si>
  <si>
    <t>A</t>
  </si>
  <si>
    <t>B</t>
  </si>
  <si>
    <t>C</t>
  </si>
  <si>
    <t>APR</t>
  </si>
  <si>
    <t>k</t>
  </si>
  <si>
    <t>EAR</t>
  </si>
  <si>
    <t>Years</t>
  </si>
  <si>
    <t xml:space="preserve">We would prefer account C as this one yields the highest effective annual rate. </t>
  </si>
  <si>
    <t>FV (using APR)</t>
  </si>
  <si>
    <t>FV (using EAR)</t>
  </si>
  <si>
    <t>According to our prediction in a), we see that we have indeed the highest return (17.02) after 3.5 years by investing in account C.</t>
  </si>
  <si>
    <t>NPV = -5000 + 1000/0.1 =</t>
  </si>
  <si>
    <t>Mutually exclusive projects with different life times should be compared using equivalent annual cash flows (EACF).</t>
  </si>
  <si>
    <t>NPV = EACF / 0.1 &lt;=&gt; 5000 = EACF / 0.1 &lt;=&gt; EACF = 500</t>
  </si>
  <si>
    <t>NPV = -5000 + 1500/0.1 * [1-1/(1+0.1)^10] =</t>
  </si>
  <si>
    <t xml:space="preserve">NPV = EACF /0.1 * [1-1/(1+0.1)^10] &lt;=&gt; 4216.85 = EACF / 0.1 * [1-1/(1+0.1)^10] &lt;=&gt; EACF = </t>
  </si>
  <si>
    <t>Project B is the best project because it has a higher equivalent annual cash flow.</t>
  </si>
  <si>
    <t>Maturity (years)</t>
  </si>
  <si>
    <t>D</t>
  </si>
  <si>
    <t>E</t>
  </si>
  <si>
    <t>Coupon rate (EAR)</t>
  </si>
  <si>
    <t>Price</t>
  </si>
  <si>
    <t>Yield to Maturity</t>
  </si>
  <si>
    <t>Bond</t>
  </si>
  <si>
    <t>Price Today</t>
  </si>
  <si>
    <t>Year 1</t>
  </si>
  <si>
    <t>Year 2</t>
  </si>
  <si>
    <t>Year 3</t>
  </si>
  <si>
    <t>Number Sell</t>
  </si>
  <si>
    <t>Portfolio cash Flows:</t>
  </si>
  <si>
    <t>Number Buy</t>
  </si>
  <si>
    <t>Yes, there is an arbitrage opportunity.</t>
  </si>
  <si>
    <t xml:space="preserve">We will issue/sell 10 times bond B and buy 4 times bond A and one of each C and D. Thus all future cash flows set off each other and we are left with a positive amount of 553.12 today. </t>
  </si>
  <si>
    <t>In order to check for an arbitrage opportunity, we need to check whether we can build a self-financed portfolio that is generating a profit although it is risk-free (this is then a violation of the law of one price and so an arbitrage)</t>
  </si>
  <si>
    <t>Interest rates and exchange rates</t>
  </si>
  <si>
    <t>ADVANCED RESULT 02/01/2019 - 27/01/2020</t>
  </si>
  <si>
    <t>Treasury Bills</t>
  </si>
  <si>
    <t>Swedish Government Bonds</t>
  </si>
  <si>
    <t>SE 1M</t>
  </si>
  <si>
    <t>SE 3M</t>
  </si>
  <si>
    <t>SE 6M</t>
  </si>
  <si>
    <t>SE GVB 2Y</t>
  </si>
  <si>
    <t>SE GVB 5Y</t>
  </si>
  <si>
    <t>SE GVB 7Y</t>
  </si>
  <si>
    <t>SE GVB 10Y</t>
  </si>
  <si>
    <t>Average</t>
  </si>
  <si>
    <t>2019 January</t>
  </si>
  <si>
    <t>2019 February</t>
  </si>
  <si>
    <t>2019 March</t>
  </si>
  <si>
    <t>2019 April</t>
  </si>
  <si>
    <t>2019 May</t>
  </si>
  <si>
    <t>n/a</t>
  </si>
  <si>
    <t>2019 June</t>
  </si>
  <si>
    <t>2019 July</t>
  </si>
  <si>
    <t>2019 August</t>
  </si>
  <si>
    <t>2019 September</t>
  </si>
  <si>
    <t>2019 October</t>
  </si>
  <si>
    <t>2019 November</t>
  </si>
  <si>
    <t>2019 December</t>
  </si>
  <si>
    <t>FootNote</t>
  </si>
  <si>
    <t>SE 1M (03/01/1983 00:00:00 - )</t>
  </si>
  <si>
    <t>Swedish Treasury Bill maturity 1 month</t>
  </si>
  <si>
    <t>Source: Thomson Reuters</t>
  </si>
  <si>
    <t>SE 3M (03/01/1983 00:00:00 - )</t>
  </si>
  <si>
    <t>Swedish Treasury Bill maturity 3 months</t>
  </si>
  <si>
    <t>SE 6M (02/01/1984 00:00:00 - )</t>
  </si>
  <si>
    <t>Swedish Treasury Bill maturity 6  months</t>
  </si>
  <si>
    <t>SE GVB 2Y (07/01/1987 00:00:00 - )</t>
  </si>
  <si>
    <t>Swedish Government Bond, maturity 2 years</t>
  </si>
  <si>
    <t>SE GVB 5Y (02/01/1985 00:00:00 - )</t>
  </si>
  <si>
    <t>Swedish Government Bond, maturity 5 years</t>
  </si>
  <si>
    <t>SE GVB 7Y (02/01/1980 00:00:00 - )</t>
  </si>
  <si>
    <t>Swedish Government Bond, maturity 7 years</t>
  </si>
  <si>
    <t>SE GVB 10Y (02/01/1987 00:00:00 - )</t>
  </si>
  <si>
    <t>Swedish Government Bond, maturity 10 years</t>
  </si>
  <si>
    <t>Data downloaded from Riksbank:</t>
  </si>
  <si>
    <t>T-Bill denote short-term debt and thus maturities till one year. Government bonds are issued long-term and reach 10 years in the Swedish case.</t>
  </si>
  <si>
    <t>1M</t>
  </si>
  <si>
    <t>3M</t>
  </si>
  <si>
    <t>6M</t>
  </si>
  <si>
    <t>2Y</t>
  </si>
  <si>
    <t>5y</t>
  </si>
  <si>
    <t>7Y</t>
  </si>
  <si>
    <t>10Y</t>
  </si>
  <si>
    <t>The yield for a 6 month T-Bill droped from -0,35 to -0,49, so the price of those instuments went up. As the finance ministry is issuing the bonds, it profits from a higher price. In other words, it is cheaper for them to borrow in Dec compared to Jan. Even more true if you look at the drop in the long-run yield.</t>
  </si>
  <si>
    <t>…</t>
  </si>
  <si>
    <t>Growth rate</t>
  </si>
  <si>
    <t>-</t>
  </si>
  <si>
    <t>Cost of capital</t>
  </si>
  <si>
    <t>To NPV of the company we need to use the annuity formula for the first 6 years and then the perpetuity formula for the remaining time. Here remember the perpetuity 46,37/(0,14-0,03) gives the NPV in period 6 so we need to discount it further tiill period 0.</t>
  </si>
  <si>
    <t>Shares outstanding</t>
  </si>
  <si>
    <t>Debt</t>
  </si>
  <si>
    <t>Value of equity</t>
  </si>
  <si>
    <t>Share Price</t>
  </si>
  <si>
    <t>When we want to find the share price we need to understand that the value of the firm is attributed to both debt and equity holders and thus only the value of equity is reflected in the share price.
Notice thst as both shares outstanding and value of equity are in millions, the share price is in Dollars.</t>
  </si>
  <si>
    <t>Dividend</t>
  </si>
  <si>
    <t>Growth</t>
  </si>
  <si>
    <t>NPV of one share</t>
  </si>
  <si>
    <t>or share price</t>
  </si>
  <si>
    <t>Required return</t>
  </si>
  <si>
    <t>Using the dividend discount model, we estimate the value of all future dividends and thus assume that we hold the stock forever. The normal formula of a growing perpetuity applies.
Note: The two share prices are not the same as both methods are just estimates that not necessarily come to the same value. We cannot compare them here in particular as issuing a dividend would change the FCFs in a) and thus the value in b).</t>
  </si>
  <si>
    <t xml:space="preserve">S = (2 * 1.05) / (0.12-0.05) = </t>
  </si>
  <si>
    <t>S = (2 * 1.08) / (0.12-0.08) * [1 - ((1+0.08)/(1+0.12))^3] +  ((2 * 1.08^3 * 1.04) / (0.12-0.04)) / ((1+0.12)^3) =</t>
  </si>
  <si>
    <t>S = 10 / 0.1 = €100</t>
  </si>
  <si>
    <t>We can estimate the value of the company by computing the value of the company with no additional investment plus the incremental value of investing in the marketing campaign.</t>
  </si>
  <si>
    <t xml:space="preserve">S = 10/0.1 + (-10+2.10/0.1)/(1+0.1) = </t>
  </si>
  <si>
    <t>It creates value because the return on investment (21%) is larger than the discount rate (10%).</t>
  </si>
  <si>
    <t>Annual coupon = 5% x €5 = €0.25</t>
  </si>
  <si>
    <t>B = 0.25 / 0.06 * [1-1/(1+0.06)^5]  + 5/(1+0.06)^5 =</t>
  </si>
  <si>
    <t>B = 0.25 / 0.06 * [1-1/(1+0.06)^4]  + 5/(1+0.06)^4</t>
  </si>
  <si>
    <t>As the bond pays coupons semiannual, we need to compute the Effective YTM first. Investing at 12% annually is equivalent to investing at YTM (semester) biannually:</t>
  </si>
  <si>
    <t xml:space="preserve">Now we can use the YTM (semester) to value the bond over 40 semesters. </t>
  </si>
  <si>
    <t>The coupon rate is usually stated as a stated annual rate, so the Coupon (semester) is 4%.</t>
  </si>
  <si>
    <t>B = 0.04 / 0.0583 * [1-1/(1+0.0583)^40] + 1 / (1+0.0583) ^ 40 =</t>
  </si>
  <si>
    <t xml:space="preserve">Notice that in this exercise we do not know the Face Value of the bond. That is why we calculate the price in percentage of the Face Value. </t>
  </si>
  <si>
    <t>(1 + 12%) = (1+ YTM (semester))^2 &lt;=&gt; YTM (semester) = 1.12 ^ 0.5 -1 =</t>
  </si>
  <si>
    <t>B = 0.05 / 0.0583 * [1-1/(1+0.0583)^30] + 1 / (1+0.0583) ^ 30 =</t>
  </si>
  <si>
    <t>1-year Interest Rate:</t>
  </si>
  <si>
    <t>2-year Interest Rate:</t>
  </si>
  <si>
    <t>3-year Interest Rate:</t>
  </si>
  <si>
    <t>4-year Interest Rate:</t>
  </si>
  <si>
    <t>97.087 = 100 / (1 + S_1) ^ 1 =&gt;  S_1 =</t>
  </si>
  <si>
    <t>93.351 = 100 / (1 + S_2) ^ 2 =&gt;  S_2 =</t>
  </si>
  <si>
    <t>89.157 = 100 / (1 + S_3) ^ 3 =&gt;  S_3 =</t>
  </si>
  <si>
    <t>84.826 = 100 / (1 + S_4) ^ 4 =&gt;  S_4 =</t>
  </si>
  <si>
    <t>Let's find the Spot Rates (today's interest rates) for different maturities:</t>
  </si>
  <si>
    <t>B = 3/ (1 + 0.03) ^1 + 3/ (1 + 0.035) ^2 + 3/ (1 + 0.039) ^3 + 3/ (1 + 0.042) ^4 + 100 / (1 + 0.042) ^4 =</t>
  </si>
  <si>
    <t>B = 3/ (1 + YTM) ^1 + 3/ (1 + YTM) ^2 + 3/ (1 + YTM) ^3 + 3/ (1 + YTM) ^4 + 100 / (1 + YTM) ^4 = 95.76      =&gt;      YTM = ?</t>
  </si>
  <si>
    <t>We can solve using Goal Seek</t>
  </si>
  <si>
    <t>YTM</t>
  </si>
  <si>
    <t>Bond Price (as a function of YTM)</t>
  </si>
  <si>
    <t>Goal</t>
  </si>
  <si>
    <t>Notice that the YTM is higher than the coupon rate. This implies that the bond is traded below par (or at a discount).</t>
  </si>
  <si>
    <t>1-year Spot Rate:</t>
  </si>
  <si>
    <t>100 = 106 / (1 + S_1) ^ 1 &lt;=&gt; S_1 = 6 %</t>
  </si>
  <si>
    <t>(There was no need to compute it. As the 1-year bond is traded at par, we know that the YTM = coupon rate)</t>
  </si>
  <si>
    <t>2-year Spot Rate:</t>
  </si>
  <si>
    <t xml:space="preserve">96.428 = 5 / (1 + 0.06) ^ 1 + 105 / (1+S_2) ^ 2 &lt;=&gt; S_2 = </t>
  </si>
  <si>
    <t>B = 100 / (1+0.07) ^ 2 =</t>
  </si>
  <si>
    <t xml:space="preserve">Earnings per share = 110 000 000 / 20 000 000 = </t>
  </si>
  <si>
    <t>S = 5.5/ 0.15 =</t>
  </si>
  <si>
    <t>NPVGO = -12 000 000 -7 000 000 / (1+0.15) ^ 1 + (10 000 000 /0.15)/ (1+0.15) ^ 1 =</t>
  </si>
  <si>
    <t>NPVGO (per share) =</t>
  </si>
  <si>
    <t>S = 36.67 + 1.99 =</t>
  </si>
  <si>
    <t>S = 5 / 0.14 =</t>
  </si>
  <si>
    <t xml:space="preserve">In order to answer this question, we need to compute g* (Sustainable Growth Rate). </t>
  </si>
  <si>
    <t>This is the rate at which a firm can grow using only retained earnings.</t>
  </si>
  <si>
    <t>g* = 25% * 20% =</t>
  </si>
  <si>
    <t>Every year (starting 3 years from now), the company will invest 25% of its earnings, and will earn 20% on that investment in perpetuity.</t>
  </si>
  <si>
    <t>-25% x €5</t>
  </si>
  <si>
    <t>Return on Investment in 3</t>
  </si>
  <si>
    <t>Investment in 3</t>
  </si>
  <si>
    <t>Investment in 4</t>
  </si>
  <si>
    <t>Return on Investment in 4</t>
  </si>
  <si>
    <t>-25% x €5 x (1+g*)</t>
  </si>
  <si>
    <t>Investment in 5</t>
  </si>
  <si>
    <t>Return on Investment in 5</t>
  </si>
  <si>
    <t>-25% x €5 x (1+g*)^2</t>
  </si>
  <si>
    <t>25% x €5 x (1+g*)^2 x 20%</t>
  </si>
  <si>
    <t>25% x €5 x (1+g*)  x 20%</t>
  </si>
  <si>
    <t>Retains and invests 25% of previous year earnings</t>
  </si>
  <si>
    <t>Again: retains and invests 25% of previous year earnings. Earnings have increased by (1+g*) due to investment in 3</t>
  </si>
  <si>
    <t>25% x €5 x 20% = 5 x g*</t>
  </si>
  <si>
    <t>Again: retains and invests 25% of previous year earnings. Earnings have increased by (1+g*) due to investment in 4</t>
  </si>
  <si>
    <t>NPVGO = (((- 25% * 5) +(25% * 5 * 20%)/14%)/(14%-5%)) / (1+14%)^2 =</t>
  </si>
  <si>
    <t>S = 35.71 + 4.58 =</t>
  </si>
  <si>
    <t>Part 3: Risk and Return; Diversification; CAPM</t>
  </si>
  <si>
    <t>Part 4: Capital Structure</t>
  </si>
  <si>
    <t>Part 6:  Equity Capital</t>
  </si>
  <si>
    <t>Part 7:  Mergers and Acquisitions</t>
  </si>
  <si>
    <t>Spot EUR/AUD</t>
  </si>
  <si>
    <t>One-month forward premium</t>
  </si>
  <si>
    <t>One month forward</t>
  </si>
  <si>
    <t>How to read these values?</t>
  </si>
  <si>
    <t>To buy one AUD, we will pay more euros in one month. This means the AUD appreciates (becomes more expensive).</t>
  </si>
  <si>
    <t>Part 5:  International Corporate Finance; International Capital Budgeting; Risk Management</t>
  </si>
  <si>
    <t>e</t>
  </si>
  <si>
    <t>Using the EUR/AUD mid rate: 0.6730</t>
  </si>
  <si>
    <t>0.673 * (1-0.03) ^ 4 * (1+0.1)^2 =</t>
  </si>
  <si>
    <t xml:space="preserve">Using the interest rate parity, we know that: </t>
  </si>
  <si>
    <t>1+r (GBP) = S_0 x (1+ r(Euro)) / F_1 &lt;=&gt; r(Euro) = 1.05 * 0.8082 / 0.8160 -1 = 4%</t>
  </si>
  <si>
    <t>Using the Relative Purchasing Power Parity:</t>
  </si>
  <si>
    <t>S_1 is approx. S_0 x [ 1 + (i_UK - i_US)] = 0.6120 x (1+ (0.03-0.05)) =</t>
  </si>
  <si>
    <t>1-Year:</t>
  </si>
  <si>
    <t>S_1 = 0.8240 * (1+0.02) / (1+0.01) =</t>
  </si>
  <si>
    <t>2-Year:</t>
  </si>
  <si>
    <t>S_2 = 0.8322 * (1+0.03) / (1+0.03) =</t>
  </si>
  <si>
    <t>3-Year:</t>
  </si>
  <si>
    <t>S_3 = 0.8322 * (1+0.04) / (1+0.02) =</t>
  </si>
  <si>
    <t>Today: to buy 1 AUD, you pay €0.6735</t>
  </si>
  <si>
    <t>Today: to sell 1 AUD, you get €0.6725</t>
  </si>
  <si>
    <t>In one month: to buy 1 AUD, you pay €0.675</t>
  </si>
  <si>
    <t>In one month: to sell 1 AUD, you get €0.6735</t>
  </si>
  <si>
    <t>To sell euro is the equivalent to buy AUD. So, to sell €350 000 is equivalent to buy 350 000 / 0.6735 =</t>
  </si>
  <si>
    <t>To sell AUD is the equivalent to buy euro. So, to sell AUD 450 000 is equivalent to buy 450 000 x 0.6735 =</t>
  </si>
  <si>
    <t>To buy 1 GBP, you pay 1.632</t>
  </si>
  <si>
    <t>to sell 1 GBP, you receive 1.6296</t>
  </si>
  <si>
    <t>If we sell £10 million, we receive £10 m x 1.6296 = € 16.296 m</t>
  </si>
  <si>
    <t>Selling EUR is equivalent to buy GBP. You receive €12 m / 1.6320 = £ 7.353 m</t>
  </si>
  <si>
    <t>If it invests now in the US, by the end of the 12-month period, it will have.</t>
  </si>
  <si>
    <t xml:space="preserve">FV = 1000000 * (1 + S_US) = 1000000 * (1 + 0.07625) = </t>
  </si>
  <si>
    <t>The company just received US$ 1 million.</t>
  </si>
  <si>
    <t>If it decides to invest in Switzerland, it needs to convert US$ 1 m to CHF, invest at the risk free rate in Switzerland, and converbt back to dollar in the end of the year.</t>
  </si>
  <si>
    <t>This strategy yields:</t>
  </si>
  <si>
    <t>FV = 1000000 * 1.3125 * (1 + 0.045626) / 1.275 =</t>
  </si>
  <si>
    <t>The minimal difference of $129 can be attributed to the operation of IRP. Transaction costs would wipe out any gain from arbitrage.</t>
  </si>
  <si>
    <t>New York price in one year = $2.00 * (1+0.02) =</t>
  </si>
  <si>
    <t>London price in one year = £1.00 * (1+0.04) =</t>
  </si>
  <si>
    <t xml:space="preserve">Exchange rate under PPP = ($2.04 / £1.04) = </t>
  </si>
  <si>
    <t>$1.96 per £1</t>
  </si>
  <si>
    <t>a1)</t>
  </si>
  <si>
    <t>Net operating cash flows</t>
  </si>
  <si>
    <t>Net operating cash flows (OJ's 50% share)</t>
  </si>
  <si>
    <t>Remaining dividends</t>
  </si>
  <si>
    <t>Dividends (up to 50% in the first three years)</t>
  </si>
  <si>
    <t>Expected exchange rate</t>
  </si>
  <si>
    <t>Cash Flows in GBP</t>
  </si>
  <si>
    <t>Investment in GBP</t>
  </si>
  <si>
    <t>Cash Flows in SA$ 000</t>
  </si>
  <si>
    <t>Discount Cash Flows in GBP</t>
  </si>
  <si>
    <t>In this scenario, OJ should reject the project.</t>
  </si>
  <si>
    <t>a2)</t>
  </si>
  <si>
    <t>Dividends (up to 100%)</t>
  </si>
  <si>
    <t xml:space="preserve">In this scenario, the positive NPV indicates acceptance, but the project is marginal, .e.g, the profitability index (NPV / Outlay = 21 / 450) is only 0.047. Given the risk of exchange controls being imposed, this suggests that OJ should treat the project with great caution. </t>
  </si>
  <si>
    <t>See above.</t>
  </si>
  <si>
    <t>Net Cash Flows (in C$)</t>
  </si>
  <si>
    <t>Terminal Value</t>
  </si>
  <si>
    <t>Initial Investment (in C$)</t>
  </si>
  <si>
    <t>Cash Flows in C$</t>
  </si>
  <si>
    <t>Expected Exchange Rate</t>
  </si>
  <si>
    <t>Cash Flows in £</t>
  </si>
  <si>
    <t>Discount Cash Flows in £</t>
  </si>
  <si>
    <t>The appropriate discount rate should incorporate the actual discount rate plus additional compensation for the appreciatiation of the sterling. Why do investors 'demand' compensation? If they had kept sterling currency, their wealth would appreciate. As they invest in a different currency, they bear an extra (opportunity) cost of investing in a different currency. Therefore:</t>
  </si>
  <si>
    <t>Discount rate = 1.14 * (1.05) -1 =</t>
  </si>
  <si>
    <t>Discount Factor (using appropriate discount rate)</t>
  </si>
  <si>
    <t>Discount Cash Flows in $C</t>
  </si>
  <si>
    <t>NPV in $C</t>
  </si>
  <si>
    <t>NPV in £</t>
  </si>
  <si>
    <t>Home</t>
  </si>
  <si>
    <t>Currency</t>
  </si>
  <si>
    <t>Approach</t>
  </si>
  <si>
    <t>Foreign</t>
  </si>
  <si>
    <t>FDI differs from domestic investment for many reasons:</t>
  </si>
  <si>
    <t xml:space="preserve">■ Exposure to FX risk. </t>
  </si>
  <si>
    <t xml:space="preserve">■ Likelihood of inflation abroad occurring at rates different from home inflation. </t>
  </si>
  <si>
    <t>■ Risk of political intervention, leading to blocked funds, etc.</t>
  </si>
  <si>
    <t xml:space="preserve">■ Access to concessionary finance and grants. </t>
  </si>
  <si>
    <t>■ Overspill effects on existing operations.</t>
  </si>
  <si>
    <t>Exposure of US operations = US$(50m - 30m) = 20m</t>
  </si>
  <si>
    <t>Exposure of South America operations = US$100m</t>
  </si>
  <si>
    <t>Total exposure</t>
  </si>
  <si>
    <t>US$120m</t>
  </si>
  <si>
    <t>Producing more output in the US and shipping to South America.</t>
  </si>
  <si>
    <t>Sourcing more USD-denominated inputs to support UK production.</t>
  </si>
  <si>
    <t>Borrowing in USD.</t>
  </si>
  <si>
    <t xml:space="preserve">■ Source materials and services from local suppliers. </t>
  </si>
  <si>
    <t xml:space="preserve">■ Employ locals in key management posts. </t>
  </si>
  <si>
    <t>■ Invest in training programmes for locals.</t>
  </si>
  <si>
    <t xml:space="preserve">■ Invest in sports and health facilities, open to the wider population. </t>
  </si>
  <si>
    <t>■ Sponsor local cultural events.</t>
  </si>
  <si>
    <t xml:space="preserve">■ Undertake joint ventures with local firms. </t>
  </si>
  <si>
    <t xml:space="preserve">■ Reinvestment rather than repatriation of profits. </t>
  </si>
  <si>
    <t>■ Use local sources of finance.</t>
  </si>
  <si>
    <t>Raw material prices – specifically, flour and sugar</t>
  </si>
  <si>
    <t>Interest rate movements on its variable-rate borrowings</t>
  </si>
  <si>
    <t>Currency movements on imports and exports</t>
  </si>
  <si>
    <t>Loss of profits, e.g. lost production from a possible bakery fire</t>
  </si>
  <si>
    <t>Insurance</t>
  </si>
  <si>
    <t>It should let it lapse as the spot price is cheaper than the exercise option.</t>
  </si>
  <si>
    <t>An option gives the right, but not the obligation, to buy or sell an asset at an agreed price at, or up to, an agreed time. It is the right not to exercise the option that distinguishes it from a future.</t>
  </si>
  <si>
    <t xml:space="preserve">Regarding the 2019 financial report (Section "Risk Factors"), Ericsson managers carefully explain the different sources of exposure to risk to investors. Examples include geopolitical risk, demand risk (increasing preferences for digital products), introduction of 5G, competition, etc. </t>
  </si>
  <si>
    <t>Managerial motives reduce to the three Ps - power, pay and prestige, all of which are enhanced by size of firm.</t>
  </si>
  <si>
    <t>If managers are paid according to growth in EPS, a takeover that exploits synergies may enhance their bonuses. However, if financed by debt, the value of the firm could actually fall. Takeovers that aim to reduce risk rarely benefit shareholders, for whom systematic risk is normally more relevant than total risk.</t>
  </si>
  <si>
    <t>Cash is more certain, whereas the value of shares is volatile - by the time payment is made, the share value might have fallen. Investors wishing to liquidate the shares received will incur dealing fees.</t>
  </si>
  <si>
    <t xml:space="preserve">The NPV of the bid for Predator’s shareholders = (£1,000m + £200m + £50m) - (£1,000m + £230m) = £20m. </t>
  </si>
  <si>
    <t>Prey’s shareholders benefit by £30m (60 per cent of gains), and those of Predator by £20m (40 per cent), if the bid is completed at this price.</t>
  </si>
  <si>
    <t>The value of the target can be computed using the perpetuity with growth formula:</t>
  </si>
  <si>
    <t>We are not given the discount rate, so we should compute it using the current valuation:</t>
  </si>
  <si>
    <t>P(new) = 0.8 / (discount rate - 0.08)</t>
  </si>
  <si>
    <t>P(current) = 20 = 0.8 / (discount rate - 0.06) &lt;=&gt; discount rate =</t>
  </si>
  <si>
    <t xml:space="preserve">P(new) = 0.8 / (0.1 - 0.08) = </t>
  </si>
  <si>
    <t>per share</t>
  </si>
  <si>
    <t>Thus:</t>
  </si>
  <si>
    <t>Value of equity = Nr. Shares x Share Price = 40 x 0.6 million = 24 million</t>
  </si>
  <si>
    <t>Notice that the previous equity value of 20 x 0.6 = 12 million.</t>
  </si>
  <si>
    <t>So the equity value of the target firm if the acquisition goes ahead increases by £12 million.</t>
  </si>
  <si>
    <t>Price paid = £25 x 0.6 million = 15 million</t>
  </si>
  <si>
    <t>Equity of target = 12 million</t>
  </si>
  <si>
    <t>Cost</t>
  </si>
  <si>
    <t>3 million</t>
  </si>
  <si>
    <t>NPV of acquisition = benefit of acquisition - cost of acquisition = £12 million - £3 million = £9 million</t>
  </si>
  <si>
    <t>As the NPV is positive, it is advised to go ahead with the transaction.</t>
  </si>
  <si>
    <t>How many acquirer's shares are required?</t>
  </si>
  <si>
    <t>0.6 million / 3 = 0.2 million</t>
  </si>
  <si>
    <t>The new number of shares outstanding is 1.2 million</t>
  </si>
  <si>
    <t>Value of the new company = Value of Acquirer + Value of Target + Synergies = 90 +12 + 12 = 114</t>
  </si>
  <si>
    <t>Value per share = 114 / 1.2 = £95 per share</t>
  </si>
  <si>
    <t>'Price' paid = £95 x 0.2m = £19 million</t>
  </si>
  <si>
    <t>£7 million</t>
  </si>
  <si>
    <t>NPV of acquisition = benefit of acquisition - cost of acquisition = £12 million - £7 million = £5 million</t>
  </si>
  <si>
    <t>e1</t>
  </si>
  <si>
    <t>Cost of cash bid unchanged. Pointless to proceed as there are no gains.</t>
  </si>
  <si>
    <t>e2</t>
  </si>
  <si>
    <t>With the share exchange:</t>
  </si>
  <si>
    <t>Value of the new company = Value of Acquirer + Value of Target + Synergies = 90 +12 + 0 = 102</t>
  </si>
  <si>
    <t>Value per share = 102 / 1.2 = £85 per share</t>
  </si>
  <si>
    <t>'Price' paid = £85 x 0.2m = £17 million</t>
  </si>
  <si>
    <t>5 million</t>
  </si>
  <si>
    <t>NPV of acquisition = benefit of acquisition - cost of acquisition = 0 - £5 million = - £5 million</t>
  </si>
  <si>
    <t>Advise not to proceed on this basis.</t>
  </si>
  <si>
    <t>P = 800 000 / 40 000 =</t>
  </si>
  <si>
    <t>Thus, the entrepreneur should sell:</t>
  </si>
  <si>
    <t>200 000 / 20 = 10 000 shares</t>
  </si>
  <si>
    <t>Let's start by computing the current price per share:</t>
  </si>
  <si>
    <t xml:space="preserve">The enterpreneur needs €200 000 for a company worth €800 000. Thus, he is willing to sell part of the company. </t>
  </si>
  <si>
    <t>The company plans to raise additional funding through the issue of new shares. The new shares will be issued at €22.</t>
  </si>
  <si>
    <t>Moreover the company has other direct costs in the amount of €150 000.</t>
  </si>
  <si>
    <t xml:space="preserve">In order to obtain effectively €20 million after fees and flotation expenses, the company nees to issue: </t>
  </si>
  <si>
    <t>Nr. Shares x Price per share - cost = 20 million &lt;=&gt; Nr. Shares =</t>
  </si>
  <si>
    <t>Shares</t>
  </si>
  <si>
    <t>As there is an underwriter's fee of 5%, this means the company effectively receives €22 x (1-0.05) = €20.90 per share.</t>
  </si>
  <si>
    <t xml:space="preserve">Nr. Shares x (20 x (1-0.07)) = 30 + 0.8 &lt;=&gt; Nr. Shares = </t>
  </si>
  <si>
    <t>million shares</t>
  </si>
  <si>
    <t>Amount left of the table = (Closing Price - Offer Price) x (Number of Shares) = (22-20) x 1.656 =</t>
  </si>
  <si>
    <t>million</t>
  </si>
  <si>
    <t>Total costs of IPO = 0.8 + 3.312 + 2.318 =</t>
  </si>
  <si>
    <t>Underwriting cost = 7% x €20 x 1.656 =</t>
  </si>
  <si>
    <t xml:space="preserve">From the table we can see that the underwriter's fee is €5 x 3 million -14 milllion =  €1 million. </t>
  </si>
  <si>
    <t>If the average price is €5 per share, the underwrite receives €1million and has a cost of €0.3 million.</t>
  </si>
  <si>
    <t xml:space="preserve">Thus, the profit is €700 000.							</t>
  </si>
  <si>
    <t xml:space="preserve">If the average price is €6 per share, the underwriter's fee is €6 x 3 million -14 milllion =  €4 million. </t>
  </si>
  <si>
    <t xml:space="preserve">Thus, the profit is €3 700 000.							</t>
  </si>
  <si>
    <t xml:space="preserve">If the average price is €4 per share, the underwriter's fee is €4 x 3 million -14 milllion =  - €2 million. </t>
  </si>
  <si>
    <t xml:space="preserve">Thus, the loss is €2 300 000.							</t>
  </si>
  <si>
    <t>The offer price needs to be such that the amount invested by the new shareholders corresponds to 1/5 of the company. Thus:</t>
  </si>
  <si>
    <t>1/5 x (New value of Firm) = Amount invested, where New Value of the Firm = 60 + Amount invested x (1-0.07)</t>
  </si>
  <si>
    <t xml:space="preserve">The current value of equity is €60 million, and there are 4 million shares outstanding. The company will raise 1 million shares. This means that the new investors will hold 1/5 of the company. </t>
  </si>
  <si>
    <t>1/5 x (60 + Amount invested x (1-0.07)) = Amount invested &lt;=&gt; Amount invested = (60/5) / (1-(1-0.07)/5) =</t>
  </si>
  <si>
    <t>Zang will raise €14.74 million x (1-0.07) =</t>
  </si>
  <si>
    <t>The new price per share is (60+13.708)/5 =</t>
  </si>
  <si>
    <t xml:space="preserve">The stock price dropped by </t>
  </si>
  <si>
    <t xml:space="preserve">The initial price per share is 60/4 = </t>
  </si>
  <si>
    <t>In this case the stock price decreases due to the underwriter's fee and due to the fact that there is no increase in the fundamental value of the firm (i.e. more revenues, ...). In practice, the inflow of funding could be invested in new projects and the equity value of the company could increase.</t>
  </si>
  <si>
    <t>Wealth</t>
  </si>
  <si>
    <t>Share</t>
  </si>
  <si>
    <t>Weight</t>
  </si>
  <si>
    <t>Price1</t>
  </si>
  <si>
    <t>Price2</t>
  </si>
  <si>
    <t>Gold Finger</t>
  </si>
  <si>
    <t>Moosehead</t>
  </si>
  <si>
    <t>Venture</t>
  </si>
  <si>
    <t>Total</t>
  </si>
  <si>
    <t>Nr. Shares</t>
  </si>
  <si>
    <t>Holdings of each asset</t>
  </si>
  <si>
    <t>New value of the portfolio</t>
  </si>
  <si>
    <t>Note: We cannot buy or sell fractional shares, so we would round down the number of shares. Not rounding would still get full points in the exam.</t>
  </si>
  <si>
    <t>Return</t>
  </si>
  <si>
    <t xml:space="preserve">As we can see, the new portfolio weights are different from the old ones. This example illustrates that we must take this change into consideration when we work with portfolios. </t>
  </si>
  <si>
    <t>Hannah Corporation</t>
  </si>
  <si>
    <t>vol</t>
  </si>
  <si>
    <t>ER</t>
  </si>
  <si>
    <t>correlation</t>
  </si>
  <si>
    <t>RF</t>
  </si>
  <si>
    <t>Natasha Fund</t>
  </si>
  <si>
    <t>Correlation</t>
  </si>
  <si>
    <t>Assets</t>
  </si>
  <si>
    <t>Risk Free</t>
  </si>
  <si>
    <t>Weights</t>
  </si>
  <si>
    <t>Portfolio</t>
  </si>
  <si>
    <t>Variance</t>
  </si>
  <si>
    <t>SD</t>
  </si>
  <si>
    <t>Volatily</t>
  </si>
  <si>
    <t>We calculate the return of the portfolio as weighted average of the returns of the assets. Note that the risk free asset doesn't contribute to the volatility of the portfolio as it's risk free.</t>
  </si>
  <si>
    <t>The new portofolio has a lower expected return but also a lower volatily. Which one is better? We should choose the one that maximizes the Sharpe ratio:</t>
  </si>
  <si>
    <t>Sharpe Ratio = (ER - r_f) / SD</t>
  </si>
  <si>
    <t>Sharpe Ratio (old) =</t>
  </si>
  <si>
    <t>We see the Sharpe ratio is higher for the new allocation, so the we should follow the advice.</t>
  </si>
  <si>
    <t>MR</t>
  </si>
  <si>
    <t>Market vol</t>
  </si>
  <si>
    <t>ATP vol</t>
  </si>
  <si>
    <t>Beta</t>
  </si>
  <si>
    <t>Beta = Cov(R_p, R_m)/Var(R_m) = Cov(R_p, R_m) / (0.44^2)</t>
  </si>
  <si>
    <t>Hence:</t>
  </si>
  <si>
    <t>Beta =</t>
  </si>
  <si>
    <t>We know Corr (R_p, R_M) = Cov(R_p, R_m) / (SD_p x SD_m) = 0.91 &lt;=&gt; Cov(R_p, R_m) = 0.91 * 0.68 * 0.44</t>
  </si>
  <si>
    <t xml:space="preserve">E(R_ATP) = 5% + Beta (12% - 5%) = </t>
  </si>
  <si>
    <t>If both assets are on the SML, we know:</t>
  </si>
  <si>
    <t>We subtract the two equations:</t>
  </si>
  <si>
    <t>4%=0.4*MRP</t>
  </si>
  <si>
    <t>21% = RF + 1.6 * MRP</t>
  </si>
  <si>
    <t>17% = RF + 1.2 * MRP</t>
  </si>
  <si>
    <t>Hence, MRP =</t>
  </si>
  <si>
    <t>Plug in one of the equations</t>
  </si>
  <si>
    <t>RF =</t>
  </si>
  <si>
    <t>One the secutiry market line, an asset with beta of 1.4 has the following return:</t>
  </si>
  <si>
    <t>The return of the asset C is</t>
  </si>
  <si>
    <t>P = Div / r &lt;=&gt; r =</t>
  </si>
  <si>
    <t>As this asset yields a higher return than CAPM predicts, it is a profitable investment.</t>
  </si>
  <si>
    <t xml:space="preserve">The portfolio of Stock 1 and Stock 2 is expected to have a lower volatility since its constituents are less correlated. Therefore the risk of this portfolio is more diversified.  </t>
  </si>
  <si>
    <t>The beta measures how sensitive the portfolio is to the market movements. If this value is less than 1, the portfolio is considered to be relatively less sensitive or less risky.</t>
  </si>
  <si>
    <t>Since the scatterplots show the comovements of the stocks (idiosyncratic risk), they do not reveal their connection with the market (market risk). Therefore, it is possible that two correlated stocks are not affected seriously by the market. Thus, the results do not contradict with each other.</t>
  </si>
  <si>
    <t>c1</t>
  </si>
  <si>
    <t>Stock 3</t>
  </si>
  <si>
    <t>Stock 4</t>
  </si>
  <si>
    <t>Vol</t>
  </si>
  <si>
    <t>Cov</t>
  </si>
  <si>
    <t>c2</t>
  </si>
  <si>
    <t>Volatility</t>
  </si>
  <si>
    <t>c3</t>
  </si>
  <si>
    <t>What is the Beta of this portfolio?</t>
  </si>
  <si>
    <t>Given that both assets have a beta of 0.8, the beta of the portfolio is 0.8.</t>
  </si>
  <si>
    <t>R_portfolio = 0.03 +  0.8 x (0.06 - 0.03) =</t>
  </si>
  <si>
    <t>Beta(1) = Cov(R1,Rm)/Var(Rm),  then:</t>
  </si>
  <si>
    <t>SD1</t>
  </si>
  <si>
    <t xml:space="preserve">Cov(R1,Rm) = Corr(R1,Rm)*SD(R1)*SD(Rm) </t>
  </si>
  <si>
    <t>or Corr(R1,Rm) = Cov(R1,Rm)/ SD(R1)*SD(Rm), then:</t>
  </si>
  <si>
    <t>1=(0.0024)/(SD(R1)*0.04), and SD(R1)=0.06</t>
  </si>
  <si>
    <t>Beta2</t>
  </si>
  <si>
    <t>Corr(R2,Rm) = Cov(R2,Rm)/ SD(R2)*SD(Rm), then</t>
  </si>
  <si>
    <t>0.5=(Cov(R2,Rm))/((0.18*0.04) , and Cov(R2,Rm)=0.0036</t>
  </si>
  <si>
    <t>Corr3</t>
  </si>
  <si>
    <t>Cov(R3,Rm)=0.0008 and:</t>
  </si>
  <si>
    <t>Corr(R3,Rm)=0.0008/(0.04*0.02), and Corr(R3,Rm)=1</t>
  </si>
  <si>
    <t>Remaining</t>
  </si>
  <si>
    <t>The Beta of the market is always 1</t>
  </si>
  <si>
    <t>The correlation of an assets with itself is always 1</t>
  </si>
  <si>
    <t>The Beta of the risk free asset is always 0</t>
  </si>
  <si>
    <t>The correlation of the risk free assets with any other asset is always 0</t>
  </si>
  <si>
    <r>
      <rPr>
        <sz val="12"/>
        <rFont val="Calibri (Body)"/>
      </rPr>
      <t>1.5 = Cov(R1,Rm)/(0.04</t>
    </r>
    <r>
      <rPr>
        <vertAlign val="superscript"/>
        <sz val="12"/>
        <rFont val="Calibri (Body)"/>
      </rPr>
      <t>2</t>
    </r>
    <r>
      <rPr>
        <sz val="12"/>
        <rFont val="Calibri (Body)"/>
      </rPr>
      <t>), and  Cov(R1,Rm) = 0.0024</t>
    </r>
  </si>
  <si>
    <r>
      <rPr>
        <sz val="12"/>
        <rFont val="Calibri (Body)"/>
      </rPr>
      <t>Beta(2)=0.0036/0.04</t>
    </r>
    <r>
      <rPr>
        <vertAlign val="superscript"/>
        <sz val="12"/>
        <rFont val="Calibri (Body)"/>
      </rPr>
      <t>2</t>
    </r>
    <r>
      <rPr>
        <sz val="12"/>
        <rFont val="Calibri (Body)"/>
      </rPr>
      <t>=2.25</t>
    </r>
  </si>
  <si>
    <r>
      <rPr>
        <sz val="12"/>
        <rFont val="Calibri (Body)"/>
      </rPr>
      <t>0.5= (Cov(R3,Rm))/0.04</t>
    </r>
    <r>
      <rPr>
        <vertAlign val="superscript"/>
        <sz val="12"/>
        <rFont val="Calibri (Body)"/>
      </rPr>
      <t>2</t>
    </r>
    <r>
      <rPr>
        <sz val="12"/>
        <rFont val="Calibri (Body)"/>
      </rPr>
      <t>, then:</t>
    </r>
  </si>
  <si>
    <t xml:space="preserve">RP = xA*RA + xB*RB
RP =0.3*10%+0.7*20% = 17% 
SD(RP)=(xA^2*SD(RA)^2 + xB^2*SD(RB)^2+2*xA^2*xB^2*SD(RA)*SD(RB)*CORR(RA,RB))^(1/2)
SD(RP)= (0.3^2*0.05^2+0.7^2*0.15^2+0)^(1/2)=10.6% </t>
  </si>
  <si>
    <t xml:space="preserve">RP =0.9*10%+0.1*20% = 11% 
SD(RP)= (0.9^2*0.05^2+0.1^2*0.15^2+0)^(1/2)=4.7% </t>
  </si>
  <si>
    <t xml:space="preserve">No. 100% invested in A is not an efficient portfolio. For example, the portfolio in question b) offers higher expected return with lower volatility. </t>
  </si>
  <si>
    <t>Expected earnings: $35m (before interest) in perpetuity.</t>
  </si>
  <si>
    <t>Payout=100%</t>
  </si>
  <si>
    <t>Both companies have the same earnings (perfectly correlated), and given that there are no tax shield due to the absence of taxes, then both companies should have the same value.</t>
  </si>
  <si>
    <t>Debt+</t>
  </si>
  <si>
    <t>NoDebt</t>
  </si>
  <si>
    <t>EBIT</t>
  </si>
  <si>
    <t>rd</t>
  </si>
  <si>
    <t>#shares</t>
  </si>
  <si>
    <t>1,5</t>
  </si>
  <si>
    <t>3,6</t>
  </si>
  <si>
    <t>Share price</t>
  </si>
  <si>
    <t>t</t>
  </si>
  <si>
    <t>MV Equity (#shares x price)</t>
  </si>
  <si>
    <t>MV Debt</t>
  </si>
  <si>
    <t>VL</t>
  </si>
  <si>
    <t>As the value is not the same, there is an arbitrage opportunity. One should buy the cheaper company and sell the expensive one.</t>
  </si>
  <si>
    <t>Equity</t>
  </si>
  <si>
    <t>Probability</t>
  </si>
  <si>
    <t>CF at t=1</t>
  </si>
  <si>
    <t>Initial Debt</t>
  </si>
  <si>
    <t>MV Equity = PV cash flows for equity holders = (50% * 20 + 50% * 170) / (1+r) =</t>
  </si>
  <si>
    <t>So, MM I theorem holds.</t>
  </si>
  <si>
    <t>Old Debt</t>
  </si>
  <si>
    <t>Junior Debt</t>
  </si>
  <si>
    <t xml:space="preserve">MV Equity = PV cash flows for equity holders = (50% * 0 + 50% * 140) / (1+r) = </t>
  </si>
  <si>
    <t xml:space="preserve">MV Old Debt = </t>
  </si>
  <si>
    <t xml:space="preserve">MV Junior Debt = </t>
  </si>
  <si>
    <t>Notice that again MM theorem holds.</t>
  </si>
  <si>
    <t>The new price per share needs to be such that:</t>
  </si>
  <si>
    <t>2. the new market value of equity is 70.</t>
  </si>
  <si>
    <t>1. the amount spent in the repurchase is the expected value of the new capital in the firm.</t>
  </si>
  <si>
    <t>(100 - N') x P' = 70</t>
  </si>
  <si>
    <t>N' x P' = 25</t>
  </si>
  <si>
    <t>P' = 0.95</t>
  </si>
  <si>
    <t>N' = 26.32</t>
  </si>
  <si>
    <t>Notice that price per share does not change because no value is being created.</t>
  </si>
  <si>
    <t>Market value balance sheet (before the debt issue announcement)</t>
  </si>
  <si>
    <t>Unlevered Value                                   £10,000,000</t>
  </si>
  <si>
    <t>Equity                                                    £10,000,000</t>
  </si>
  <si>
    <t>Total Assets                                           £10,000,000</t>
  </si>
  <si>
    <t>Total Equity and Liabilities                £10,000,000</t>
  </si>
  <si>
    <t>Share price =Market capitalization/ # shares outstanding = £10,000,000/500,000=£20</t>
  </si>
  <si>
    <t xml:space="preserve">After the announcement, the value of the company increases due to the tax advantage of debt. Therefore, the new company value shall take the present value of tax shield into account. Notice that there are no further gains for the company as the debt issuance is for equity repurchase and not to invest in new projects. </t>
  </si>
  <si>
    <t>Before computing the present value of tax shield we need to compute the appropriate discount rate in this company:</t>
  </si>
  <si>
    <t>10 000 000 = (1 500 000 x (1 - 0.4)) / r &lt;=&gt; r = 9%</t>
  </si>
  <si>
    <t>The present value of the tax shield is, therefore:</t>
  </si>
  <si>
    <t>Market value balance sheet (after the debt issue announcement)</t>
  </si>
  <si>
    <t>Market value balance sheet (after the repurchase)</t>
  </si>
  <si>
    <t>Debt
£2,000,000</t>
  </si>
  <si>
    <t>Notice that the price changed after the announcement but does not change after with the repurchase itself (stock prices react to information).</t>
  </si>
  <si>
    <t>r_D =</t>
  </si>
  <si>
    <t>r_E =</t>
  </si>
  <si>
    <t>D/E=</t>
  </si>
  <si>
    <t>t=</t>
  </si>
  <si>
    <t>WACC = E/(E+D) x r_E + D/(E+D) x r_D x (1-t) =</t>
  </si>
  <si>
    <t>Notice that D/E = (D+E)/E-1, so</t>
  </si>
  <si>
    <t>E/(E+D) =</t>
  </si>
  <si>
    <t>D/(E+D) =</t>
  </si>
  <si>
    <t>Remember that when the capital structure changes, the required rate of return of investors changes as well. We need to calculate the new rate of return on equity:</t>
  </si>
  <si>
    <t>r_E = r_U + D/E x (r_U-r_D) x (1-t)</t>
  </si>
  <si>
    <t>We need to estimate R_U first. Using the previous capital structure:</t>
  </si>
  <si>
    <t>0.12 = r_U + 0.5 x (r_U-0.06) x (1-0.35) =&gt; r_U =</t>
  </si>
  <si>
    <t>Thus</t>
  </si>
  <si>
    <t>r_E = r_U + D/E x (r_U-r_D) x (1-t) =</t>
  </si>
  <si>
    <t>Finally,</t>
  </si>
  <si>
    <t xml:space="preserve">WACC = </t>
  </si>
  <si>
    <t>The new D/(D+E) an E/(D+E) ratios are:</t>
  </si>
  <si>
    <t xml:space="preserve">We can calculate the value of the firm as if it was unlevered plus the present value of the tax shield (PVTS). </t>
  </si>
  <si>
    <t>V_L = V_U + PV(Tax Shield)</t>
  </si>
  <si>
    <t>V_U = EBIT(1-t) / r_U =</t>
  </si>
  <si>
    <t>PV(Tax Shield) = (t x r_D x D) / r_D = t x D =</t>
  </si>
  <si>
    <t>V_L</t>
  </si>
  <si>
    <t>Equity = V_L - Debt =</t>
  </si>
  <si>
    <t>Without leverage</t>
  </si>
  <si>
    <t xml:space="preserve">Net Income = EBIT (1-t) = </t>
  </si>
  <si>
    <t>With leverage</t>
  </si>
  <si>
    <t>To acquire 10% of the company, this investor will use €1200 (=10% x 12000), he does not need to borrow any money.</t>
  </si>
  <si>
    <t>Net Cash Flow = Dividends = 10% x 1600 =</t>
  </si>
  <si>
    <t>Buy 10% of the firm with the unlevered capital structure, having the possibility of borrowing money at a 5% interest rate.</t>
  </si>
  <si>
    <t>To acquire 10% of the company, this investor will use €2000 (=10% x 20000), he needs to borrow €800.</t>
  </si>
  <si>
    <t>Net Cash Flow = Dividends - Interest = 10% x 2000 - 5% x 800 =</t>
  </si>
  <si>
    <t>V_U = Equity = 20 000 = 2000/ r_U =&gt; r_U = 10% = r_WACC</t>
  </si>
  <si>
    <t xml:space="preserve">Equity = 12 000 = 1600 / r_E =&gt; r_E = </t>
  </si>
  <si>
    <t>OR</t>
  </si>
  <si>
    <t>V_L = 20 000 + 0.4 x 8000 =</t>
  </si>
  <si>
    <t xml:space="preserve">V_L = 20 000 = 2000 / r_WACC =&gt; r_WACC = </t>
  </si>
  <si>
    <t xml:space="preserve">V_L = 23200 = 2000 / r_WACC =&gt; r_WACC = </t>
  </si>
  <si>
    <t>r_E = 15200 = DIV / r_E =&gt; r_E =</t>
  </si>
  <si>
    <t xml:space="preserve">Net Income = (EBIT - Interest Paid) x (1-t) = </t>
  </si>
  <si>
    <t>Costs</t>
  </si>
  <si>
    <t>EBITDA</t>
  </si>
  <si>
    <t>Depreciation</t>
  </si>
  <si>
    <t>Taxes</t>
  </si>
  <si>
    <t>NOPAT</t>
  </si>
  <si>
    <t>CAPEX</t>
  </si>
  <si>
    <t>Asset Resale</t>
  </si>
  <si>
    <t>Change in NWC</t>
  </si>
  <si>
    <t>NWC</t>
  </si>
  <si>
    <t>Investment CF</t>
  </si>
  <si>
    <t>Taxes on Resale*</t>
  </si>
  <si>
    <t>* Notice that if you sell an asset for a price above its accounting value, you need to pay taxes on capital gains. Specifically, the asset is worth 150 000 (600 000 - 3* 150 000). As you sell for 200 000, you need to pay taxes on the 50 000 profit.</t>
  </si>
  <si>
    <t>r_U = r_f + Beta_U x MRP = 5% + Beta_U * 6% = ?</t>
  </si>
  <si>
    <t xml:space="preserve">r_U = r_f + Beta_U x MRP = 5% + 0.60975 * 6% = </t>
  </si>
  <si>
    <t>So, now we can compute the NPV by discounting the FCF at the appropriate discount rate:</t>
  </si>
  <si>
    <t>Discount Free Cash Flow</t>
  </si>
  <si>
    <t>We need to repeat the process for the new capital structure and find r_WACC.</t>
  </si>
  <si>
    <t>WACC =</t>
  </si>
  <si>
    <t>Part 2: Bond and Stock Valuation</t>
  </si>
  <si>
    <t>Method 2: apply the annuity formula</t>
  </si>
  <si>
    <t>Hedging in commodity markets</t>
  </si>
  <si>
    <t>Hedging in currency markets</t>
  </si>
  <si>
    <t>Hedging in financial markets</t>
  </si>
  <si>
    <t>Share Price = MV Equity / #shares = 95 / 100 = 0.95</t>
  </si>
  <si>
    <t>Notice that even if we ignore capital structure, the firm value is (50% * 50 + 50% * 200) / (1+r) = 125</t>
  </si>
  <si>
    <t>_</t>
  </si>
  <si>
    <t>Buy 10% of the firm with the levered capital structure</t>
  </si>
  <si>
    <t>We need to incorporate the present value of the interest tax shield</t>
  </si>
  <si>
    <t>Notice that the cost of equity (r_E) decreases relatively to the situation with no taxes.</t>
  </si>
  <si>
    <t>In this case there is no change.</t>
  </si>
  <si>
    <t>Defining by N' the number of shares repurchased, and P' the new price, we have the following system of equations:</t>
  </si>
  <si>
    <t>On that extra investment, earns 20% every year in perpetuity</t>
  </si>
  <si>
    <t>Notice this this is a perpetuity of perpetuities. Hence:</t>
  </si>
  <si>
    <t>The final share price is:</t>
  </si>
  <si>
    <t xml:space="preserve">The  term '((- 25% * 5) +(25% * 5 * 20%)/14%)' in the formula above is the present value of the first perpetuity. This perpetuity grows by 5%  and repeats every year (also in perpetuity). It is why we divide the first term by '(14%-5%)' (perpetuity with growth). </t>
  </si>
  <si>
    <t>Finally, we need to update the value of this perpetuity of perpetuities to time zero. The formula of the first perpetuity yeilds its present value in time 3. When we apply the second perpetuity, we get the present value in time 2. So we update this value to time zero with the term '(1+14%)^2'.</t>
  </si>
  <si>
    <t>Note: The following answer has not been updated and it relates to the 2019 financial report.</t>
  </si>
  <si>
    <t>The company is now issuing debt to perform a leveraged recapitalization. It is going to raise debt and repurchase equity. The purpose of this investment is not to pursue any investment opportunity. In general, firms might want to perform leveraged recapitalization is they are below their target leverage ratio (e.g., it is a period of low interest rates or the firm expects to enter into a growth period).</t>
  </si>
  <si>
    <t>We should buy the cheapest (go 'Long') and sell the most expensive ('short-sell'). This means buying NoDebt and short-selling Debt+.</t>
  </si>
  <si>
    <t>The question asks to construct a:</t>
  </si>
  <si>
    <t>i) Zero Risk</t>
  </si>
  <si>
    <t>ii) Zero investment</t>
  </si>
  <si>
    <t>iii) $1 Million long in NoDebt</t>
  </si>
  <si>
    <t>iv) Generates a positive return in perpetuity</t>
  </si>
  <si>
    <t>This means the following:</t>
  </si>
  <si>
    <t>Long in NoDebt</t>
  </si>
  <si>
    <t>today</t>
  </si>
  <si>
    <t>t=1</t>
  </si>
  <si>
    <t>t=2</t>
  </si>
  <si>
    <t>Short-sell Debt+</t>
  </si>
  <si>
    <r>
      <rPr>
        <sz val="12"/>
        <color theme="4"/>
        <rFont val="Calibri (Body)"/>
      </rPr>
      <t>return</t>
    </r>
    <r>
      <rPr>
        <sz val="12"/>
        <color theme="1"/>
        <rFont val="Calibri"/>
        <family val="2"/>
        <scheme val="minor"/>
      </rPr>
      <t>&gt;0</t>
    </r>
  </si>
  <si>
    <t>y</t>
  </si>
  <si>
    <t>Step 1: Define y (how much we short-sell of Debt+):</t>
  </si>
  <si>
    <t>Every period, we need to pay back Debt+ holders (stockholders and debt holders). So, we need to pay the proportional to our "short" ownership in the company.</t>
  </si>
  <si>
    <t>Inflow = earnings * (1/309.6)</t>
  </si>
  <si>
    <t>Outflow=(earnings + 0.07*150) * (y/172.5)</t>
  </si>
  <si>
    <t>We are given the information that the earnings are perfectly correlated (the companies are actually the same, only the capital structure changes). So, we can wonder what is the effect of a change in earnings by $1. This is equivalent to taking the derivative. We want the effect on inflows and outflows to complete offset each other.</t>
  </si>
  <si>
    <t>If we take the derivative with respect to earnings, we get:</t>
  </si>
  <si>
    <t>d(inflow)/d(earnings)=1/309.6</t>
  </si>
  <si>
    <t>d(outflow)/d(earnings)=y/172.5</t>
  </si>
  <si>
    <t>The change in earnings is complete offset when 1/309.6=y/172.5. This means that we should short-sell y=0.557 of Debt+.</t>
  </si>
  <si>
    <t xml:space="preserve">Notice that 0.557 is MV Equity (Debt+)/MV Equity (NoDebt). In other words, the optimal investment level that offsets changes in both companies' earnings is equal to their ratio of market values. </t>
  </si>
  <si>
    <t>y = 0.557</t>
  </si>
  <si>
    <t>Step1</t>
  </si>
  <si>
    <t>Step2</t>
  </si>
  <si>
    <t>Step 2: How much should be borrow?</t>
  </si>
  <si>
    <t>We know that in period zero we should make a zero investment. So, we still need to borrow 1-0.557=0.443 million.</t>
  </si>
  <si>
    <t>Step3</t>
  </si>
  <si>
    <t>Step 2: Check if all conditions are satisfied</t>
  </si>
  <si>
    <t>Borrow at 7%</t>
  </si>
  <si>
    <t>earnings * (1/309.6)</t>
  </si>
  <si>
    <t>-(earnings + 0.07*150) * (0.557/172.5)</t>
  </si>
  <si>
    <t>-0.07*0.443</t>
  </si>
  <si>
    <r>
      <rPr>
        <sz val="12"/>
        <color theme="4"/>
        <rFont val="Calibri (Body)"/>
      </rPr>
      <t>0.002917</t>
    </r>
    <r>
      <rPr>
        <sz val="12"/>
        <color theme="1"/>
        <rFont val="Calibri"/>
        <family val="2"/>
        <scheme val="minor"/>
      </rPr>
      <t>&gt;0</t>
    </r>
  </si>
  <si>
    <t>No matter what earnings are, you will always get $0,002917M in perpetuity. Instead of starting with $1M, you can start with how much you want provided that the initial investment is always zero and you become richer and richer.</t>
  </si>
  <si>
    <t>Comments</t>
  </si>
  <si>
    <t>Periods</t>
  </si>
  <si>
    <t>Annual Coupon Rate</t>
  </si>
  <si>
    <t>Semi-annual coupon</t>
  </si>
  <si>
    <t>Face Value</t>
  </si>
  <si>
    <t>(1 + 8%) = (1+ YTM (semester))^2 &lt;=&gt; YTM (semester) = 1.08 ^ 0.5 -1 =</t>
  </si>
  <si>
    <t>Confirmation.</t>
  </si>
  <si>
    <t>Period (semesters)</t>
  </si>
  <si>
    <t>cash flow</t>
  </si>
  <si>
    <t>discount rate</t>
  </si>
  <si>
    <t>discounted cash flow</t>
  </si>
  <si>
    <t>PV=</t>
  </si>
  <si>
    <t>The price of the bond is:</t>
  </si>
  <si>
    <t>B=30/0.03923*(1-1/(1+0.03923)^12)+1200/(1+0.03923)^12=</t>
  </si>
  <si>
    <t>Each investor pays 1039.022 per bond.</t>
  </si>
  <si>
    <t>#Number of bonds</t>
  </si>
  <si>
    <t>Total amount</t>
  </si>
  <si>
    <t>Last cash outflow=</t>
  </si>
  <si>
    <t>CF</t>
  </si>
  <si>
    <t>Discount factor (12%)</t>
  </si>
  <si>
    <t>Discounted cash flows</t>
  </si>
  <si>
    <t>Yes, in this case we can trust the IRR rule because the negative cash flows preceed the positive ones.</t>
  </si>
  <si>
    <t xml:space="preserve">The NPV of the project is $1.34M. Thus Solero must invest in the project. </t>
  </si>
  <si>
    <t>The IRR rule will give the same decision as the NPV.</t>
  </si>
  <si>
    <t>This analysis is from the perspective of a Korean investor, so Korea is the home country and the U.S is the foreign country. The interest rate parity relationship uses direct quotes for exchange rates; direct quotes are number of units of home currency per unit of foreign currency. Therefore, a direct quote from a Korean perspective is the number of won per dollar.
According to interest rate parity, the following condition holds:</t>
  </si>
  <si>
    <t>(1+R_f_US)=S_0 x (1 + R_f_SK) x 1/ F_1</t>
  </si>
  <si>
    <t>F_1 =</t>
  </si>
  <si>
    <t>Won / US dollar</t>
  </si>
  <si>
    <t>And</t>
  </si>
  <si>
    <t>(1+R_f_US)^2=S_0 x (1 + R_f_SK)^2 x 1/ F_2</t>
  </si>
  <si>
    <t>F_2 =</t>
  </si>
  <si>
    <t>First, we must adjust the cash flows to reflect Quia Motors' home currency.</t>
  </si>
  <si>
    <t>The expected Won denominated cash flows are:</t>
  </si>
  <si>
    <t>Year 0:</t>
  </si>
  <si>
    <t>Year 1:</t>
  </si>
  <si>
    <t>Year 2:</t>
  </si>
  <si>
    <t>CF (US)</t>
  </si>
  <si>
    <t>Exchange Rate</t>
  </si>
  <si>
    <t>CF (Won)</t>
  </si>
  <si>
    <t>Now, using the won-denominated cash flows, the appropriate NPV and rate of return can be found.</t>
  </si>
  <si>
    <t>Discount rate</t>
  </si>
  <si>
    <t>Discount factor</t>
  </si>
  <si>
    <t>Discounted CF</t>
  </si>
  <si>
    <t>The NPV of this project is 78 million South Korean won.</t>
  </si>
  <si>
    <t>What is the IRR of this project?</t>
  </si>
  <si>
    <t>It must be such that NPV=0</t>
  </si>
  <si>
    <t>Using Goal seek:</t>
  </si>
  <si>
    <t>Internal Rate of Return</t>
  </si>
  <si>
    <t>The IRR is 18.85%.</t>
  </si>
  <si>
    <t>One dollar will buy more South Korean won.</t>
  </si>
  <si>
    <t>The foreign project’s cash flows have to be converted to U. S. dollars, since the shareholders of the U. S. corporation (assuming they are mainly U. S. residents) are interested in dollar returns.  This subjects them to exchange rate risk, and therefore requires an additional risk premium. There is also a risk premium for political risk (mainly the risk of expropriation).  However, foreign investments also help diversify cash flows, so the net effect on the required rate of return is ambiguous.</t>
  </si>
  <si>
    <t>Prob.</t>
  </si>
  <si>
    <t>Return (stock I)</t>
  </si>
  <si>
    <t>Return (stock II)</t>
  </si>
  <si>
    <t>Expected Return</t>
  </si>
  <si>
    <t>St. Dev.</t>
  </si>
  <si>
    <t>weight (stock I) =</t>
  </si>
  <si>
    <t>portfolio return =</t>
  </si>
  <si>
    <t>MRP</t>
  </si>
  <si>
    <t>r_free</t>
  </si>
  <si>
    <t>In order to find the beta, we can do two things.</t>
  </si>
  <si>
    <t>Method 1:</t>
  </si>
  <si>
    <t>13% = r_f + Beta * (MRP) &lt;=&gt; Beta =</t>
  </si>
  <si>
    <t>Method 2: beta of the portfolio is the weighted average of the betas</t>
  </si>
  <si>
    <t>One can borrow at the risk free-rate to invest in the market portfolio more than the initial wealth. In this case, the weight on the risk free is higher than 100% (and the weight on the risk free is negative).</t>
  </si>
  <si>
    <t>Using excel's goal seek:</t>
  </si>
  <si>
    <t>You can solve the system of CAPM equations for both companies (R_company=r_f+B_company*(R_m-r_f))</t>
  </si>
  <si>
    <t xml:space="preserve">As you see this exercise has a level of complexity higher than we ever discussed in class. Its difficulty is almost as high as identifying arbitrage opportunities in real life. </t>
  </si>
  <si>
    <t>Every period we will receive in dividends from NoDebt the proportional to our ownership in the company. This is $1M out of 309.6. So, the total dividends are:</t>
  </si>
  <si>
    <t xml:space="preserve">Beta_E = Beta_U + D/E x (Beta_U - 0) x (1-t) &lt;=&gt; Beta_U = 1.25 / (1 + 1.5 x (1-30%)) = </t>
  </si>
  <si>
    <t>Beta_E = Beta_U + D/E x (Beta_U - 0) x (1-t) &lt;=&gt; Beta_E = 0.6098 x (1 + 1 x (1-30%)) =</t>
  </si>
  <si>
    <t>As we see, the tax benefit associated with leverage increases the value of the project.</t>
  </si>
  <si>
    <t>We need to find the required return rate on the unleveraged company (r_U). Using the CAPM equation, we know that:</t>
  </si>
  <si>
    <t>We are not given information about the unlevered Beta for this company. Our best guess is to look at similar firms in this industry (similar to a 'Multiples' approach). Fortunately, we are given information about the industry, hence:</t>
  </si>
  <si>
    <t>r_E = r_f + Beta_E x MRP = 5% + 1.0366 * 6% =</t>
  </si>
  <si>
    <t>The EAR is computed as follows:</t>
  </si>
  <si>
    <t>EAR=</t>
  </si>
  <si>
    <t>=(1+0.09/12)^12-1</t>
  </si>
  <si>
    <t>Next we compute the APR with quarterly compounding</t>
  </si>
  <si>
    <t>APR=</t>
  </si>
  <si>
    <t>=((1+EAR)^(1/4)-1)*4</t>
  </si>
  <si>
    <t>Now we can compute the present value of the annuity with 20  (4 quarters over 5 years) constant payments of $250.</t>
  </si>
  <si>
    <t>PV(Annuity)=</t>
  </si>
  <si>
    <t>=250/(0.090677/4)*(1-1/(1+(0.090677/4))^20)=</t>
  </si>
  <si>
    <t>Changes in Working Capital</t>
  </si>
  <si>
    <t>5% of sales</t>
  </si>
  <si>
    <t>10% of sales</t>
  </si>
  <si>
    <t>Working Capital</t>
  </si>
  <si>
    <t>-Changes to working capital*</t>
  </si>
  <si>
    <t>*Working capital explanation</t>
  </si>
  <si>
    <t>when the project is over, all remaining working capital is recovered</t>
  </si>
  <si>
    <t>The yield curve is upward sloping for both periods but got much flater over the year. By the end of 2019 it was nearly completely negative.This means investors were paying for the "honor" to invest in the Swedish government bonds.</t>
  </si>
  <si>
    <t>PV (tax shield) = ((2 000 000 x 0.06) x 0.6) / 0.09 = 533 333, where (2 000 000 x 0.06) are the annual interest payments.</t>
  </si>
  <si>
    <t>PV (tax shield)
£533,333</t>
  </si>
  <si>
    <t>Equity                                                    £10,533,333</t>
  </si>
  <si>
    <t>Share price = Market capitalization / # shares outstanding = £10,800,000/500,000=£21.07</t>
  </si>
  <si>
    <t>Number of purchased shares = 2,000,000 / 21,07=94,921 shares</t>
  </si>
  <si>
    <t>Remaining shares outstanding= 500,000 - 94,921 = 405,078 shares</t>
  </si>
  <si>
    <t>Equity                                                    £8,533,333</t>
  </si>
  <si>
    <t>Share price =Market capitalization/ # shares outstanding = £8,533,333/405,078=£21.07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</si>
</sst>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0.0000000"/>
    <numFmt numFmtId="165" formatCode="0.000"/>
    <numFmt numFmtId="166" formatCode="&quot;€&quot;#,##0.00"/>
    <numFmt numFmtId="167" formatCode="0.0"/>
    <numFmt numFmtId="168" formatCode="0.0%"/>
    <numFmt numFmtId="169" formatCode="0.000%"/>
    <numFmt numFmtId="170" formatCode="_-[$$-409]* #,##0.00_ ;_-[$$-409]* \-#,##0.00\ ;_-[$$-409]* &quot;-&quot;??_ ;_-@_ "/>
    <numFmt numFmtId="171" formatCode="[$AUD]\ #,##0.00"/>
    <numFmt numFmtId="172" formatCode="0.0000"/>
    <numFmt numFmtId="173" formatCode="_-[$€-2]\ * #,##0.00_-;\-[$€-2]\ * #,##0.00_-;_-[$€-2]\ * &quot;-&quot;??_-;_-@_-"/>
    <numFmt numFmtId="174" formatCode="_-[$USD]\ * #,##0.00_-;\-[$USD]\ * #,##0.00_-;_-[$USD]\ * &quot;-&quot;??_-;_-@_-"/>
    <numFmt numFmtId="175" formatCode="_-[$USD]\ * #,##0_-;\-[$USD]\ * #,##0_-;_-[$USD]\ * &quot;-&quot;??_-;_-@_-"/>
    <numFmt numFmtId="176" formatCode="_-[$£-809]* #,##0.00_-;\-[$£-809]* #,##0.00_-;_-[$£-809]* &quot;-&quot;??_-;_-@_-"/>
    <numFmt numFmtId="177" formatCode="_-[$£-809]* #,##0.000_-;\-[$£-809]* #,##0.000_-;_-[$£-809]* &quot;-&quot;??_-;_-@_-"/>
    <numFmt numFmtId="178" formatCode="_-[$€-2]\ * #,##0.000_-;\-[$€-2]\ * #,##0.000_-;_-[$€-2]\ * &quot;-&quot;??_-;_-@_-"/>
    <numFmt numFmtId="179" formatCode="_-[$$-409]* #,##0_ ;_-[$$-409]* \-#,##0\ ;_-[$$-409]* &quot;-&quot;??_ ;_-@_ "/>
    <numFmt numFmtId="180" formatCode="_-[$€-2]\ * #,##0_-;\-[$€-2]\ * #,##0_-;_-[$€-2]\ * &quot;-&quot;??_-;_-@_-"/>
    <numFmt numFmtId="181" formatCode="0.000000"/>
  </numFmts>
  <fonts count="25" x14ac:knownFonts="1">
    <font>
      <sz val="12"/>
      <color theme="1"/>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48"/>
      <color theme="4"/>
      <name val="Calibri"/>
      <family val="2"/>
      <scheme val="minor"/>
    </font>
    <font>
      <b/>
      <sz val="24"/>
      <color theme="4"/>
      <name val="Calibri"/>
      <family val="2"/>
      <scheme val="minor"/>
    </font>
    <font>
      <b/>
      <sz val="12"/>
      <color theme="4"/>
      <name val="Arial"/>
      <family val="2"/>
    </font>
    <font>
      <sz val="11"/>
      <color rgb="FF000000"/>
      <name val="Calibri"/>
      <family val="2"/>
      <scheme val="minor"/>
    </font>
    <font>
      <sz val="11"/>
      <name val="Calibri"/>
      <family val="2"/>
    </font>
    <font>
      <sz val="11"/>
      <name val="Calibri"/>
      <family val="2"/>
      <scheme val="minor"/>
    </font>
    <font>
      <b/>
      <sz val="11"/>
      <name val="Calibri"/>
      <family val="2"/>
      <scheme val="minor"/>
    </font>
    <font>
      <sz val="12"/>
      <color theme="1"/>
      <name val="Arial"/>
      <family val="2"/>
    </font>
    <font>
      <b/>
      <sz val="12"/>
      <color theme="1"/>
      <name val="Arial"/>
      <family val="2"/>
    </font>
    <font>
      <sz val="12"/>
      <color rgb="FFFF0000"/>
      <name val="Calibri"/>
      <family val="2"/>
      <scheme val="minor"/>
    </font>
    <font>
      <sz val="12"/>
      <name val="Calibri"/>
      <family val="2"/>
      <scheme val="minor"/>
    </font>
    <font>
      <sz val="12"/>
      <color rgb="FF000000"/>
      <name val="Calibri"/>
      <family val="2"/>
      <scheme val="minor"/>
    </font>
    <font>
      <b/>
      <sz val="12"/>
      <color rgb="FF4472C4"/>
      <name val="Arial"/>
      <family val="2"/>
    </font>
    <font>
      <sz val="12"/>
      <name val="Calibri (Body)"/>
    </font>
    <font>
      <vertAlign val="superscript"/>
      <sz val="12"/>
      <name val="Calibri (Body)"/>
    </font>
    <font>
      <sz val="11"/>
      <color theme="1"/>
      <name val="Calibri"/>
      <family val="2"/>
      <scheme val="minor"/>
    </font>
    <font>
      <b/>
      <sz val="10.5"/>
      <color rgb="FF000000"/>
      <name val="Calibri"/>
      <family val="2"/>
    </font>
    <font>
      <sz val="10.5"/>
      <color rgb="FF000000"/>
      <name val="Calibri"/>
      <family val="2"/>
    </font>
    <font>
      <b/>
      <sz val="10"/>
      <color theme="1"/>
      <name val="Calibri"/>
      <family val="2"/>
      <scheme val="minor"/>
    </font>
    <font>
      <sz val="10"/>
      <color theme="1"/>
      <name val="Calibri"/>
      <family val="2"/>
      <scheme val="minor"/>
    </font>
    <font>
      <sz val="12"/>
      <color theme="4"/>
      <name val="Calibri (Body)"/>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D3D3D3"/>
        <bgColor rgb="FF000000"/>
      </patternFill>
    </fill>
    <fill>
      <patternFill patternType="solid">
        <fgColor rgb="FFFFFFFF"/>
        <bgColor rgb="FF000000"/>
      </patternFill>
    </fill>
    <fill>
      <patternFill patternType="solid">
        <fgColor rgb="FFFFFFFF"/>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s>
  <borders count="1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185">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0" xfId="0" applyFill="1" applyAlignment="1">
      <alignment horizontal="center" vertical="center"/>
    </xf>
    <xf numFmtId="0" fontId="0" fillId="2" borderId="2" xfId="0" applyFill="1" applyBorder="1"/>
    <xf numFmtId="0" fontId="4" fillId="2" borderId="0" xfId="0" applyFont="1" applyFill="1"/>
    <xf numFmtId="0" fontId="3" fillId="2" borderId="0" xfId="0" applyFont="1" applyFill="1"/>
    <xf numFmtId="0" fontId="5" fillId="2" borderId="0" xfId="0" applyFont="1" applyFill="1"/>
    <xf numFmtId="0" fontId="6" fillId="2" borderId="1" xfId="0" applyFont="1" applyFill="1" applyBorder="1" applyAlignment="1">
      <alignment horizontal="left" vertical="center"/>
    </xf>
    <xf numFmtId="2" fontId="0" fillId="2" borderId="0" xfId="0" applyNumberFormat="1" applyFill="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2" fillId="2" borderId="0" xfId="0" applyFont="1" applyFill="1" applyAlignment="1">
      <alignment horizontal="center" vertical="center"/>
    </xf>
    <xf numFmtId="0" fontId="0" fillId="2" borderId="5" xfId="0" applyFill="1" applyBorder="1" applyAlignment="1">
      <alignment horizontal="center" vertical="center"/>
    </xf>
    <xf numFmtId="9" fontId="0" fillId="2" borderId="0" xfId="2" applyFont="1" applyFill="1"/>
    <xf numFmtId="169" fontId="0" fillId="2" borderId="0" xfId="2" applyNumberFormat="1" applyFont="1" applyFill="1"/>
    <xf numFmtId="0" fontId="0" fillId="2" borderId="0" xfId="0" applyFill="1" applyAlignment="1">
      <alignment horizontal="left" vertical="top" wrapText="1"/>
    </xf>
    <xf numFmtId="10" fontId="0" fillId="2" borderId="0" xfId="2" applyNumberFormat="1" applyFont="1" applyFill="1" applyAlignment="1">
      <alignment horizontal="center"/>
    </xf>
    <xf numFmtId="2" fontId="0" fillId="2" borderId="0" xfId="0" applyNumberFormat="1" applyFill="1"/>
    <xf numFmtId="166" fontId="0" fillId="2" borderId="0" xfId="0" applyNumberFormat="1" applyFill="1"/>
    <xf numFmtId="2" fontId="0" fillId="2" borderId="5" xfId="0" applyNumberFormat="1" applyFill="1" applyBorder="1" applyAlignment="1">
      <alignment horizontal="center" vertical="center"/>
    </xf>
    <xf numFmtId="10" fontId="0" fillId="2" borderId="0" xfId="0" applyNumberFormat="1" applyFill="1" applyAlignment="1">
      <alignment horizontal="center"/>
    </xf>
    <xf numFmtId="168" fontId="0" fillId="2" borderId="0" xfId="0" applyNumberFormat="1" applyFill="1" applyAlignment="1">
      <alignment horizontal="center"/>
    </xf>
    <xf numFmtId="3" fontId="0" fillId="2" borderId="0" xfId="0" applyNumberFormat="1" applyFill="1"/>
    <xf numFmtId="164" fontId="0" fillId="2" borderId="0" xfId="0" applyNumberFormat="1" applyFill="1"/>
    <xf numFmtId="0" fontId="0" fillId="2" borderId="5" xfId="0" applyFill="1" applyBorder="1"/>
    <xf numFmtId="0" fontId="0" fillId="2" borderId="0" xfId="0" quotePrefix="1" applyFill="1"/>
    <xf numFmtId="0" fontId="0" fillId="2" borderId="2" xfId="0" quotePrefix="1" applyFill="1" applyBorder="1"/>
    <xf numFmtId="0" fontId="2" fillId="2" borderId="0" xfId="0" quotePrefix="1" applyFont="1" applyFill="1"/>
    <xf numFmtId="1" fontId="0" fillId="2" borderId="2" xfId="0" applyNumberFormat="1" applyFill="1" applyBorder="1"/>
    <xf numFmtId="9" fontId="0" fillId="2" borderId="0" xfId="0" applyNumberFormat="1" applyFill="1"/>
    <xf numFmtId="165" fontId="0" fillId="2" borderId="0" xfId="0" applyNumberFormat="1" applyFill="1"/>
    <xf numFmtId="167" fontId="0" fillId="2" borderId="0" xfId="0" applyNumberFormat="1" applyFill="1"/>
    <xf numFmtId="2" fontId="0" fillId="2" borderId="0" xfId="0" applyNumberFormat="1" applyFill="1" applyAlignment="1">
      <alignment horizontal="left" indent="1"/>
    </xf>
    <xf numFmtId="1" fontId="0" fillId="3" borderId="0" xfId="0" applyNumberFormat="1" applyFill="1" applyAlignment="1">
      <alignment horizontal="center" vertical="center"/>
    </xf>
    <xf numFmtId="2" fontId="0" fillId="3" borderId="0" xfId="0" applyNumberFormat="1" applyFill="1" applyAlignment="1">
      <alignment horizontal="center" vertical="center"/>
    </xf>
    <xf numFmtId="10" fontId="0" fillId="3" borderId="0" xfId="2" applyNumberFormat="1" applyFont="1" applyFill="1" applyAlignment="1">
      <alignment horizontal="center" vertical="center"/>
    </xf>
    <xf numFmtId="10" fontId="0" fillId="3" borderId="0" xfId="0" applyNumberFormat="1" applyFill="1" applyAlignment="1">
      <alignment horizontal="center" vertical="center"/>
    </xf>
    <xf numFmtId="9" fontId="0" fillId="2" borderId="0" xfId="0" applyNumberFormat="1" applyFill="1" applyAlignment="1">
      <alignment horizontal="center" vertical="center"/>
    </xf>
    <xf numFmtId="10" fontId="0" fillId="2" borderId="0" xfId="0" applyNumberFormat="1" applyFill="1" applyAlignment="1">
      <alignment horizontal="center" vertical="center"/>
    </xf>
    <xf numFmtId="0" fontId="2" fillId="2" borderId="2" xfId="0" applyFont="1" applyFill="1" applyBorder="1" applyAlignment="1">
      <alignment horizontal="center" vertical="center"/>
    </xf>
    <xf numFmtId="0" fontId="0" fillId="2" borderId="6" xfId="0" applyFill="1" applyBorder="1"/>
    <xf numFmtId="0" fontId="7" fillId="2" borderId="0" xfId="0" applyFont="1" applyFill="1"/>
    <xf numFmtId="0" fontId="9" fillId="0" borderId="0" xfId="0" applyFont="1"/>
    <xf numFmtId="0" fontId="9" fillId="4" borderId="0" xfId="0" applyFont="1" applyFill="1"/>
    <xf numFmtId="0" fontId="10" fillId="4" borderId="0" xfId="0" applyFont="1" applyFill="1"/>
    <xf numFmtId="0" fontId="10" fillId="0" borderId="0" xfId="0" applyFont="1"/>
    <xf numFmtId="4" fontId="9" fillId="0" borderId="0" xfId="0" applyNumberFormat="1" applyFont="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9" fontId="0" fillId="2" borderId="0" xfId="0" applyNumberFormat="1" applyFill="1" applyAlignment="1">
      <alignment horizontal="center"/>
    </xf>
    <xf numFmtId="170" fontId="0" fillId="2" borderId="0" xfId="1" applyNumberFormat="1" applyFont="1" applyFill="1" applyAlignment="1">
      <alignment horizontal="center"/>
    </xf>
    <xf numFmtId="170" fontId="0" fillId="2" borderId="0" xfId="0" applyNumberFormat="1" applyFill="1" applyAlignment="1">
      <alignment horizontal="center"/>
    </xf>
    <xf numFmtId="170" fontId="0" fillId="2" borderId="0" xfId="1" applyNumberFormat="1" applyFont="1" applyFill="1" applyAlignment="1">
      <alignment horizontal="center" vertical="center"/>
    </xf>
    <xf numFmtId="170" fontId="0" fillId="2" borderId="0" xfId="0" applyNumberFormat="1" applyFill="1" applyAlignment="1">
      <alignment horizontal="center" vertical="center"/>
    </xf>
    <xf numFmtId="8" fontId="0" fillId="2" borderId="0" xfId="0" applyNumberFormat="1" applyFill="1"/>
    <xf numFmtId="10" fontId="0" fillId="2" borderId="0" xfId="2" applyNumberFormat="1" applyFont="1" applyFill="1"/>
    <xf numFmtId="0" fontId="12" fillId="2" borderId="0" xfId="0" applyFont="1" applyFill="1" applyAlignment="1">
      <alignment horizontal="center" vertical="center"/>
    </xf>
    <xf numFmtId="0" fontId="11" fillId="2" borderId="0" xfId="0" applyFont="1" applyFill="1"/>
    <xf numFmtId="0" fontId="11" fillId="2" borderId="0" xfId="0" quotePrefix="1" applyFont="1" applyFill="1" applyAlignment="1">
      <alignment horizontal="center" vertical="center"/>
    </xf>
    <xf numFmtId="2"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11" fillId="2" borderId="2" xfId="0" applyFont="1" applyFill="1" applyBorder="1"/>
    <xf numFmtId="2" fontId="11" fillId="2" borderId="0" xfId="0" applyNumberFormat="1" applyFont="1" applyFill="1"/>
    <xf numFmtId="0" fontId="12" fillId="2" borderId="0" xfId="0" applyFont="1" applyFill="1" applyAlignment="1">
      <alignment horizontal="center"/>
    </xf>
    <xf numFmtId="44" fontId="0" fillId="2" borderId="0" xfId="1" applyFont="1" applyFill="1"/>
    <xf numFmtId="44" fontId="0" fillId="2" borderId="0" xfId="0" applyNumberFormat="1" applyFill="1"/>
    <xf numFmtId="0" fontId="0" fillId="2" borderId="1" xfId="0" applyFill="1" applyBorder="1"/>
    <xf numFmtId="0" fontId="0" fillId="2" borderId="5" xfId="0" applyFill="1" applyBorder="1" applyAlignment="1">
      <alignment horizontal="left"/>
    </xf>
    <xf numFmtId="9" fontId="0" fillId="2" borderId="5" xfId="0" quotePrefix="1" applyNumberFormat="1" applyFill="1" applyBorder="1" applyAlignment="1">
      <alignment horizontal="left"/>
    </xf>
    <xf numFmtId="8" fontId="0" fillId="2" borderId="5" xfId="0" applyNumberFormat="1" applyFill="1" applyBorder="1" applyAlignment="1">
      <alignment horizontal="left"/>
    </xf>
    <xf numFmtId="0" fontId="0" fillId="3" borderId="5" xfId="0" applyFill="1" applyBorder="1" applyAlignment="1">
      <alignment horizontal="left"/>
    </xf>
    <xf numFmtId="0" fontId="6" fillId="2" borderId="0" xfId="0" applyFont="1" applyFill="1" applyAlignment="1">
      <alignment horizontal="left" vertical="center"/>
    </xf>
    <xf numFmtId="0" fontId="13" fillId="2" borderId="0" xfId="0" applyFont="1" applyFill="1"/>
    <xf numFmtId="171" fontId="13" fillId="2" borderId="0" xfId="0" applyNumberFormat="1" applyFont="1" applyFill="1"/>
    <xf numFmtId="172" fontId="0" fillId="2" borderId="0" xfId="0" applyNumberFormat="1" applyFill="1"/>
    <xf numFmtId="0" fontId="14" fillId="2" borderId="0" xfId="0" applyFont="1" applyFill="1"/>
    <xf numFmtId="171" fontId="0" fillId="2" borderId="0" xfId="0" applyNumberFormat="1" applyFill="1"/>
    <xf numFmtId="173" fontId="0" fillId="2" borderId="0" xfId="0" applyNumberFormat="1" applyFill="1"/>
    <xf numFmtId="174" fontId="0" fillId="2" borderId="0" xfId="0" applyNumberFormat="1" applyFill="1"/>
    <xf numFmtId="175" fontId="0" fillId="2" borderId="0" xfId="0" applyNumberFormat="1" applyFill="1"/>
    <xf numFmtId="175" fontId="0" fillId="2" borderId="0" xfId="1" applyNumberFormat="1" applyFont="1" applyFill="1" applyBorder="1"/>
    <xf numFmtId="0" fontId="0" fillId="2" borderId="0" xfId="0" applyFill="1" applyAlignment="1">
      <alignment horizontal="right"/>
    </xf>
    <xf numFmtId="176" fontId="0" fillId="2" borderId="0" xfId="0" applyNumberFormat="1" applyFill="1"/>
    <xf numFmtId="44" fontId="0" fillId="2" borderId="5" xfId="1" applyFont="1" applyFill="1" applyBorder="1"/>
    <xf numFmtId="176" fontId="0" fillId="2" borderId="5" xfId="0" applyNumberFormat="1" applyFill="1" applyBorder="1"/>
    <xf numFmtId="177" fontId="0" fillId="2" borderId="0" xfId="0" applyNumberFormat="1" applyFill="1"/>
    <xf numFmtId="10" fontId="0" fillId="2" borderId="0" xfId="2" applyNumberFormat="1" applyFont="1" applyFill="1" applyBorder="1"/>
    <xf numFmtId="0" fontId="0" fillId="2" borderId="2" xfId="0" applyFill="1" applyBorder="1" applyAlignment="1">
      <alignment horizontal="center" vertical="center"/>
    </xf>
    <xf numFmtId="1" fontId="0" fillId="2" borderId="0" xfId="0" applyNumberFormat="1" applyFill="1"/>
    <xf numFmtId="178" fontId="0" fillId="2" borderId="0" xfId="0" applyNumberFormat="1" applyFill="1"/>
    <xf numFmtId="0" fontId="6" fillId="2" borderId="7" xfId="0" applyFont="1" applyFill="1" applyBorder="1" applyAlignment="1">
      <alignment horizontal="center" vertical="center"/>
    </xf>
    <xf numFmtId="9" fontId="0" fillId="2" borderId="0" xfId="2" applyFont="1" applyFill="1" applyBorder="1" applyAlignment="1">
      <alignment horizontal="center" vertical="center"/>
    </xf>
    <xf numFmtId="0" fontId="0" fillId="2" borderId="2" xfId="0" applyFill="1" applyBorder="1" applyAlignment="1">
      <alignment horizontal="center"/>
    </xf>
    <xf numFmtId="0" fontId="2" fillId="2" borderId="0" xfId="0" applyFont="1" applyFill="1" applyAlignment="1">
      <alignment horizontal="center"/>
    </xf>
    <xf numFmtId="170" fontId="0" fillId="2" borderId="0" xfId="0" applyNumberFormat="1" applyFill="1"/>
    <xf numFmtId="170" fontId="0" fillId="2" borderId="2" xfId="0" applyNumberFormat="1" applyFill="1" applyBorder="1"/>
    <xf numFmtId="179" fontId="0" fillId="2" borderId="0" xfId="0" applyNumberFormat="1" applyFill="1"/>
    <xf numFmtId="179" fontId="0" fillId="2" borderId="0" xfId="0" applyNumberFormat="1" applyFill="1" applyAlignment="1">
      <alignment horizontal="center"/>
    </xf>
    <xf numFmtId="179" fontId="0" fillId="2" borderId="2" xfId="0" applyNumberFormat="1" applyFill="1" applyBorder="1" applyAlignment="1">
      <alignment horizontal="center"/>
    </xf>
    <xf numFmtId="168" fontId="0" fillId="2" borderId="0" xfId="2" applyNumberFormat="1" applyFont="1" applyFill="1"/>
    <xf numFmtId="0" fontId="2" fillId="0" borderId="0" xfId="0" applyFont="1"/>
    <xf numFmtId="0" fontId="7" fillId="0" borderId="0" xfId="0" applyFont="1"/>
    <xf numFmtId="2" fontId="0" fillId="2" borderId="0" xfId="2" applyNumberFormat="1" applyFont="1" applyFill="1"/>
    <xf numFmtId="0" fontId="16" fillId="5" borderId="3" xfId="0" applyFont="1" applyFill="1" applyBorder="1" applyAlignment="1">
      <alignment horizontal="center" vertical="center"/>
    </xf>
    <xf numFmtId="0" fontId="15" fillId="5" borderId="2" xfId="0" applyFont="1" applyFill="1" applyBorder="1"/>
    <xf numFmtId="0" fontId="16" fillId="5" borderId="0" xfId="0" applyFont="1" applyFill="1" applyAlignment="1">
      <alignment horizontal="center" vertical="center"/>
    </xf>
    <xf numFmtId="0" fontId="17" fillId="2" borderId="0" xfId="0" applyFont="1" applyFill="1"/>
    <xf numFmtId="0" fontId="20" fillId="6" borderId="0" xfId="0" applyFont="1" applyFill="1" applyAlignment="1">
      <alignment vertical="center"/>
    </xf>
    <xf numFmtId="0" fontId="20" fillId="6" borderId="0" xfId="0" applyFont="1" applyFill="1" applyAlignment="1">
      <alignment horizontal="center" vertical="center"/>
    </xf>
    <xf numFmtId="0" fontId="21" fillId="6" borderId="0" xfId="0" applyFont="1" applyFill="1" applyAlignment="1">
      <alignment vertical="center"/>
    </xf>
    <xf numFmtId="0" fontId="21" fillId="6" borderId="0" xfId="0" applyFont="1" applyFill="1" applyAlignment="1">
      <alignment horizontal="center" vertical="center"/>
    </xf>
    <xf numFmtId="9" fontId="21" fillId="6" borderId="0" xfId="0" applyNumberFormat="1" applyFont="1" applyFill="1" applyAlignment="1">
      <alignment horizontal="center" vertical="center"/>
    </xf>
    <xf numFmtId="0" fontId="19" fillId="2" borderId="0" xfId="0" applyFont="1" applyFill="1" applyAlignment="1">
      <alignment vertical="center"/>
    </xf>
    <xf numFmtId="0" fontId="20" fillId="2" borderId="5" xfId="0" applyFont="1" applyFill="1" applyBorder="1" applyAlignment="1">
      <alignment horizontal="center" vertical="center"/>
    </xf>
    <xf numFmtId="9" fontId="21" fillId="2" borderId="5"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9" fontId="20" fillId="2" borderId="0" xfId="0" applyNumberFormat="1" applyFont="1" applyFill="1" applyAlignment="1">
      <alignment horizontal="left" vertical="center"/>
    </xf>
    <xf numFmtId="0" fontId="19" fillId="2" borderId="0" xfId="0" applyFont="1" applyFill="1" applyAlignment="1">
      <alignment horizontal="left" vertical="center"/>
    </xf>
    <xf numFmtId="0" fontId="21" fillId="2" borderId="0" xfId="0" applyFont="1" applyFill="1" applyAlignment="1">
      <alignment horizontal="left" vertical="center"/>
    </xf>
    <xf numFmtId="0" fontId="21" fillId="2" borderId="6" xfId="0" applyFont="1" applyFill="1" applyBorder="1" applyAlignment="1">
      <alignment horizontal="left" vertical="center"/>
    </xf>
    <xf numFmtId="0" fontId="21" fillId="2" borderId="2" xfId="0" applyFont="1" applyFill="1" applyBorder="1" applyAlignment="1">
      <alignment horizontal="center" vertical="center"/>
    </xf>
    <xf numFmtId="0" fontId="21" fillId="0" borderId="0" xfId="0" applyFont="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10" fontId="0" fillId="2" borderId="0" xfId="0" applyNumberFormat="1" applyFill="1"/>
    <xf numFmtId="169" fontId="0" fillId="2" borderId="0" xfId="0" applyNumberFormat="1" applyFill="1"/>
    <xf numFmtId="173" fontId="0" fillId="2" borderId="2" xfId="0" applyNumberFormat="1" applyFill="1" applyBorder="1"/>
    <xf numFmtId="0" fontId="6" fillId="2" borderId="0" xfId="0" applyFont="1" applyFill="1" applyAlignment="1">
      <alignment horizontal="center" vertical="center"/>
    </xf>
    <xf numFmtId="0" fontId="0" fillId="2" borderId="13" xfId="0" applyFill="1" applyBorder="1"/>
    <xf numFmtId="0" fontId="0" fillId="2" borderId="4" xfId="0" applyFill="1" applyBorder="1"/>
    <xf numFmtId="0" fontId="0" fillId="2" borderId="14" xfId="0" applyFill="1" applyBorder="1" applyAlignment="1">
      <alignment horizontal="center" vertical="center"/>
    </xf>
    <xf numFmtId="3" fontId="0" fillId="2" borderId="0" xfId="0" applyNumberFormat="1" applyFill="1" applyAlignment="1">
      <alignment horizontal="center" vertical="center"/>
    </xf>
    <xf numFmtId="180" fontId="0" fillId="2" borderId="0" xfId="0" applyNumberFormat="1" applyFill="1"/>
    <xf numFmtId="0" fontId="0" fillId="2" borderId="6" xfId="0" applyFill="1" applyBorder="1" applyAlignment="1">
      <alignment horizontal="center"/>
    </xf>
    <xf numFmtId="0" fontId="0" fillId="2" borderId="4" xfId="0" applyFill="1" applyBorder="1" applyAlignment="1">
      <alignment horizontal="center"/>
    </xf>
    <xf numFmtId="0" fontId="0" fillId="2" borderId="16" xfId="0" applyFill="1" applyBorder="1" applyAlignment="1">
      <alignment horizontal="center"/>
    </xf>
    <xf numFmtId="0" fontId="0" fillId="2" borderId="15" xfId="0" applyFill="1" applyBorder="1" applyAlignment="1">
      <alignment horizontal="center"/>
    </xf>
    <xf numFmtId="0" fontId="0" fillId="7" borderId="0" xfId="0" applyFill="1"/>
    <xf numFmtId="0" fontId="0" fillId="7" borderId="15" xfId="0" applyFill="1" applyBorder="1" applyAlignment="1">
      <alignment horizontal="center"/>
    </xf>
    <xf numFmtId="0" fontId="0" fillId="8" borderId="15" xfId="0" applyFill="1" applyBorder="1" applyAlignment="1">
      <alignment horizontal="center"/>
    </xf>
    <xf numFmtId="0" fontId="0" fillId="8" borderId="0" xfId="0" applyFill="1"/>
    <xf numFmtId="0" fontId="0" fillId="9" borderId="0" xfId="0" applyFill="1"/>
    <xf numFmtId="0" fontId="0" fillId="9" borderId="4" xfId="0" applyFill="1" applyBorder="1" applyAlignment="1">
      <alignment horizontal="center"/>
    </xf>
    <xf numFmtId="0" fontId="0" fillId="2" borderId="4" xfId="0" quotePrefix="1" applyFill="1" applyBorder="1" applyAlignment="1">
      <alignment horizontal="left"/>
    </xf>
    <xf numFmtId="0" fontId="0" fillId="2" borderId="4" xfId="0" applyFill="1" applyBorder="1" applyAlignment="1">
      <alignment horizontal="left"/>
    </xf>
    <xf numFmtId="0" fontId="0" fillId="2" borderId="6" xfId="0" quotePrefix="1" applyFill="1" applyBorder="1" applyAlignment="1">
      <alignment horizontal="left"/>
    </xf>
    <xf numFmtId="0" fontId="0" fillId="2" borderId="17" xfId="0" applyFill="1" applyBorder="1" applyAlignment="1">
      <alignment horizontal="center"/>
    </xf>
    <xf numFmtId="0" fontId="0" fillId="2" borderId="5" xfId="0" applyFill="1" applyBorder="1" applyAlignment="1">
      <alignment horizontal="center"/>
    </xf>
    <xf numFmtId="43" fontId="0" fillId="2" borderId="5" xfId="4" applyFont="1" applyFill="1" applyBorder="1" applyAlignment="1">
      <alignment horizontal="center"/>
    </xf>
    <xf numFmtId="0" fontId="2" fillId="2" borderId="5" xfId="0" applyFont="1" applyFill="1" applyBorder="1" applyAlignment="1">
      <alignment horizontal="left"/>
    </xf>
    <xf numFmtId="0" fontId="2" fillId="2" borderId="5" xfId="0" applyFont="1" applyFill="1" applyBorder="1" applyAlignment="1">
      <alignment horizontal="center"/>
    </xf>
    <xf numFmtId="0" fontId="2" fillId="2" borderId="17" xfId="0" applyFont="1" applyFill="1" applyBorder="1" applyAlignment="1">
      <alignment horizontal="center"/>
    </xf>
    <xf numFmtId="43" fontId="0" fillId="2" borderId="0" xfId="4" applyFont="1" applyFill="1"/>
    <xf numFmtId="43" fontId="0" fillId="2" borderId="0" xfId="0" applyNumberFormat="1" applyFill="1"/>
    <xf numFmtId="0" fontId="0" fillId="10" borderId="0" xfId="0" applyFill="1"/>
    <xf numFmtId="43" fontId="0" fillId="10" borderId="0" xfId="0" applyNumberFormat="1" applyFill="1"/>
    <xf numFmtId="181" fontId="0" fillId="2" borderId="0" xfId="0" applyNumberFormat="1" applyFill="1" applyAlignment="1">
      <alignment horizontal="center"/>
    </xf>
    <xf numFmtId="181" fontId="0" fillId="2" borderId="0" xfId="0" applyNumberFormat="1" applyFill="1" applyAlignment="1">
      <alignment horizontal="center" vertical="center"/>
    </xf>
    <xf numFmtId="2" fontId="0" fillId="2" borderId="0" xfId="0" quotePrefix="1" applyNumberFormat="1" applyFill="1" applyAlignment="1">
      <alignment horizontal="left" vertical="center"/>
    </xf>
    <xf numFmtId="0" fontId="0" fillId="2" borderId="0" xfId="0" applyFill="1" applyAlignment="1">
      <alignment horizontal="left" vertical="center"/>
    </xf>
    <xf numFmtId="2" fontId="0" fillId="2" borderId="0" xfId="0" applyNumberFormat="1" applyFill="1" applyAlignment="1">
      <alignment horizontal="left" vertical="center"/>
    </xf>
    <xf numFmtId="0" fontId="0" fillId="2" borderId="0" xfId="0" applyFill="1" applyAlignment="1">
      <alignment horizontal="left" vertical="center"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11" fillId="2" borderId="4" xfId="0" applyFont="1" applyFill="1" applyBorder="1" applyAlignment="1">
      <alignment horizontal="left" wrapText="1"/>
    </xf>
    <xf numFmtId="0" fontId="11" fillId="2" borderId="0" xfId="0" applyFont="1" applyFill="1" applyAlignment="1">
      <alignment horizontal="left" wrapText="1"/>
    </xf>
    <xf numFmtId="0" fontId="0" fillId="2" borderId="0" xfId="0" applyFill="1" applyAlignment="1">
      <alignment horizontal="center"/>
    </xf>
    <xf numFmtId="0" fontId="0" fillId="2" borderId="0" xfId="0" applyFill="1"/>
    <xf numFmtId="0" fontId="0" fillId="2" borderId="4" xfId="0" applyFill="1" applyBorder="1" applyAlignment="1">
      <alignment horizontal="left" wrapText="1"/>
    </xf>
    <xf numFmtId="0" fontId="0" fillId="2" borderId="0" xfId="0" applyFill="1" applyAlignment="1">
      <alignment horizontal="left" wrapText="1"/>
    </xf>
    <xf numFmtId="0" fontId="0" fillId="2" borderId="0" xfId="0" quotePrefix="1" applyFill="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21" fillId="0" borderId="4" xfId="0" applyFont="1" applyBorder="1" applyAlignment="1">
      <alignment horizontal="left" vertical="top" wrapText="1"/>
    </xf>
    <xf numFmtId="0" fontId="21" fillId="0" borderId="0" xfId="0" applyFont="1" applyAlignment="1">
      <alignment horizontal="left" vertical="top"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cellXfs>
  <cellStyles count="5">
    <cellStyle name="Comma" xfId="4" builtinId="3"/>
    <cellStyle name="Currency" xfId="1" builtinId="4"/>
    <cellStyle name="Normal" xfId="0" builtinId="0"/>
    <cellStyle name="Normal 2" xfId="3" xr:uid="{9A9CBFD2-1337-004E-8980-DC9CC7AA8FE1}"/>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PT"/>
        </a:p>
      </c:txPr>
    </c:title>
    <c:autoTitleDeleted val="0"/>
    <c:plotArea>
      <c:layout/>
      <c:lineChart>
        <c:grouping val="stacked"/>
        <c:varyColors val="0"/>
        <c:ser>
          <c:idx val="0"/>
          <c:order val="0"/>
          <c:tx>
            <c:v>NPV</c:v>
          </c:tx>
          <c:spPr>
            <a:ln w="28575" cap="rnd">
              <a:solidFill>
                <a:schemeClr val="accent1"/>
              </a:solidFill>
              <a:round/>
            </a:ln>
            <a:effectLst/>
          </c:spPr>
          <c:marker>
            <c:symbol val="none"/>
          </c:marker>
          <c:cat>
            <c:numRef>
              <c:f>'Part 1'!$B$38:$B$63</c:f>
              <c:numCache>
                <c:formatCode>General</c:formatCode>
                <c:ptCount val="26"/>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numCache>
            </c:numRef>
          </c:cat>
          <c:val>
            <c:numRef>
              <c:f>'Part 1'!$C$38:$C$63</c:f>
              <c:numCache>
                <c:formatCode>0.00</c:formatCode>
                <c:ptCount val="26"/>
                <c:pt idx="0">
                  <c:v>10000</c:v>
                </c:pt>
                <c:pt idx="1">
                  <c:v>9306.9306930693128</c:v>
                </c:pt>
                <c:pt idx="2">
                  <c:v>8627.4509803921537</c:v>
                </c:pt>
                <c:pt idx="3">
                  <c:v>7961.165048543684</c:v>
                </c:pt>
                <c:pt idx="4">
                  <c:v>7307.6923076923122</c:v>
                </c:pt>
                <c:pt idx="5">
                  <c:v>6666.666666666657</c:v>
                </c:pt>
                <c:pt idx="6">
                  <c:v>6037.7358490565966</c:v>
                </c:pt>
                <c:pt idx="7">
                  <c:v>5420.5607476635487</c:v>
                </c:pt>
                <c:pt idx="8">
                  <c:v>4814.8148148148102</c:v>
                </c:pt>
                <c:pt idx="9">
                  <c:v>4220.1834862385294</c:v>
                </c:pt>
                <c:pt idx="10">
                  <c:v>3636.3636363636324</c:v>
                </c:pt>
                <c:pt idx="11">
                  <c:v>3063.0630630630549</c:v>
                </c:pt>
                <c:pt idx="12">
                  <c:v>2499.9999999999927</c:v>
                </c:pt>
                <c:pt idx="13">
                  <c:v>1946.9026548672628</c:v>
                </c:pt>
                <c:pt idx="14">
                  <c:v>1403.5087719298172</c:v>
                </c:pt>
                <c:pt idx="15">
                  <c:v>869.56521739131131</c:v>
                </c:pt>
                <c:pt idx="16">
                  <c:v>344.82758620689856</c:v>
                </c:pt>
                <c:pt idx="17">
                  <c:v>-170.94017094016453</c:v>
                </c:pt>
                <c:pt idx="18">
                  <c:v>-677.96610169491032</c:v>
                </c:pt>
                <c:pt idx="19">
                  <c:v>-1176.4705882352937</c:v>
                </c:pt>
                <c:pt idx="20">
                  <c:v>-1666.6666666666642</c:v>
                </c:pt>
                <c:pt idx="21">
                  <c:v>-2148.7603305785087</c:v>
                </c:pt>
                <c:pt idx="22">
                  <c:v>-2622.950819672129</c:v>
                </c:pt>
                <c:pt idx="23">
                  <c:v>-3089.4308943089418</c:v>
                </c:pt>
                <c:pt idx="24">
                  <c:v>-3548.3870967741896</c:v>
                </c:pt>
                <c:pt idx="25">
                  <c:v>-4000</c:v>
                </c:pt>
              </c:numCache>
            </c:numRef>
          </c:val>
          <c:smooth val="0"/>
          <c:extLst>
            <c:ext xmlns:c16="http://schemas.microsoft.com/office/drawing/2014/chart" uri="{C3380CC4-5D6E-409C-BE32-E72D297353CC}">
              <c16:uniqueId val="{00000000-35BF-144E-9E88-C52745C34BBB}"/>
            </c:ext>
          </c:extLst>
        </c:ser>
        <c:dLbls>
          <c:showLegendKey val="0"/>
          <c:showVal val="0"/>
          <c:showCatName val="0"/>
          <c:showSerName val="0"/>
          <c:showPercent val="0"/>
          <c:showBubbleSize val="0"/>
        </c:dLbls>
        <c:smooth val="0"/>
        <c:axId val="627938240"/>
        <c:axId val="625356816"/>
      </c:lineChart>
      <c:catAx>
        <c:axId val="62793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PT"/>
          </a:p>
        </c:txPr>
        <c:crossAx val="625356816"/>
        <c:crosses val="autoZero"/>
        <c:auto val="1"/>
        <c:lblAlgn val="ctr"/>
        <c:lblOffset val="100"/>
        <c:noMultiLvlLbl val="0"/>
      </c:catAx>
      <c:valAx>
        <c:axId val="625356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crossAx val="62793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NPV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PT"/>
        </a:p>
      </c:txPr>
    </c:title>
    <c:autoTitleDeleted val="0"/>
    <c:plotArea>
      <c:layout/>
      <c:lineChart>
        <c:grouping val="standard"/>
        <c:varyColors val="0"/>
        <c:ser>
          <c:idx val="0"/>
          <c:order val="0"/>
          <c:tx>
            <c:v>NPV A</c:v>
          </c:tx>
          <c:spPr>
            <a:ln w="28575" cap="rnd">
              <a:solidFill>
                <a:schemeClr val="accent1"/>
              </a:solidFill>
              <a:round/>
            </a:ln>
            <a:effectLst/>
          </c:spPr>
          <c:marker>
            <c:symbol val="none"/>
          </c:marker>
          <c:cat>
            <c:numRef>
              <c:f>'Part 1'!$C$296:$M$296</c:f>
              <c:numCache>
                <c:formatCode>General</c:formatCode>
                <c:ptCount val="11"/>
                <c:pt idx="0">
                  <c:v>0.05</c:v>
                </c:pt>
                <c:pt idx="1">
                  <c:v>0.06</c:v>
                </c:pt>
                <c:pt idx="2">
                  <c:v>7.0000000000000007E-2</c:v>
                </c:pt>
                <c:pt idx="3">
                  <c:v>0.08</c:v>
                </c:pt>
                <c:pt idx="4">
                  <c:v>0.09</c:v>
                </c:pt>
                <c:pt idx="5">
                  <c:v>0.1</c:v>
                </c:pt>
                <c:pt idx="6">
                  <c:v>0.11</c:v>
                </c:pt>
                <c:pt idx="7">
                  <c:v>0.12</c:v>
                </c:pt>
                <c:pt idx="8">
                  <c:v>0.13</c:v>
                </c:pt>
                <c:pt idx="9">
                  <c:v>0.14000000000000001</c:v>
                </c:pt>
                <c:pt idx="10">
                  <c:v>0.15</c:v>
                </c:pt>
              </c:numCache>
            </c:numRef>
          </c:cat>
          <c:val>
            <c:numRef>
              <c:f>'Part 1'!$C$297:$M$297</c:f>
              <c:numCache>
                <c:formatCode>0.00</c:formatCode>
                <c:ptCount val="11"/>
                <c:pt idx="0">
                  <c:v>20</c:v>
                </c:pt>
                <c:pt idx="1">
                  <c:v>13.333333333333336</c:v>
                </c:pt>
                <c:pt idx="2">
                  <c:v>8.5714285714285694</c:v>
                </c:pt>
                <c:pt idx="3">
                  <c:v>5</c:v>
                </c:pt>
                <c:pt idx="4">
                  <c:v>2.2222222222222214</c:v>
                </c:pt>
                <c:pt idx="5">
                  <c:v>0</c:v>
                </c:pt>
                <c:pt idx="6">
                  <c:v>-1.8181818181818166</c:v>
                </c:pt>
                <c:pt idx="7">
                  <c:v>-3.3333333333333321</c:v>
                </c:pt>
                <c:pt idx="8">
                  <c:v>-4.6153846153846168</c:v>
                </c:pt>
                <c:pt idx="9">
                  <c:v>-5.7142857142857153</c:v>
                </c:pt>
                <c:pt idx="10">
                  <c:v>-6.6666666666666661</c:v>
                </c:pt>
              </c:numCache>
            </c:numRef>
          </c:val>
          <c:smooth val="0"/>
          <c:extLst>
            <c:ext xmlns:c16="http://schemas.microsoft.com/office/drawing/2014/chart" uri="{C3380CC4-5D6E-409C-BE32-E72D297353CC}">
              <c16:uniqueId val="{00000000-ADE5-B640-8A2C-81E741F1EAF6}"/>
            </c:ext>
          </c:extLst>
        </c:ser>
        <c:ser>
          <c:idx val="1"/>
          <c:order val="1"/>
          <c:tx>
            <c:v>NPV B</c:v>
          </c:tx>
          <c:spPr>
            <a:ln w="28575" cap="rnd">
              <a:solidFill>
                <a:schemeClr val="accent2"/>
              </a:solidFill>
              <a:round/>
            </a:ln>
            <a:effectLst/>
          </c:spPr>
          <c:marker>
            <c:symbol val="none"/>
          </c:marker>
          <c:cat>
            <c:numRef>
              <c:f>'Part 1'!$C$296:$M$296</c:f>
              <c:numCache>
                <c:formatCode>General</c:formatCode>
                <c:ptCount val="11"/>
                <c:pt idx="0">
                  <c:v>0.05</c:v>
                </c:pt>
                <c:pt idx="1">
                  <c:v>0.06</c:v>
                </c:pt>
                <c:pt idx="2">
                  <c:v>7.0000000000000007E-2</c:v>
                </c:pt>
                <c:pt idx="3">
                  <c:v>0.08</c:v>
                </c:pt>
                <c:pt idx="4">
                  <c:v>0.09</c:v>
                </c:pt>
                <c:pt idx="5">
                  <c:v>0.1</c:v>
                </c:pt>
                <c:pt idx="6">
                  <c:v>0.11</c:v>
                </c:pt>
                <c:pt idx="7">
                  <c:v>0.12</c:v>
                </c:pt>
                <c:pt idx="8">
                  <c:v>0.13</c:v>
                </c:pt>
                <c:pt idx="9">
                  <c:v>0.14000000000000001</c:v>
                </c:pt>
                <c:pt idx="10">
                  <c:v>0.15</c:v>
                </c:pt>
              </c:numCache>
            </c:numRef>
          </c:cat>
          <c:val>
            <c:numRef>
              <c:f>'Part 1'!$C$298:$M$298</c:f>
              <c:numCache>
                <c:formatCode>0.00</c:formatCode>
                <c:ptCount val="11"/>
                <c:pt idx="0">
                  <c:v>29.999999999999993</c:v>
                </c:pt>
                <c:pt idx="1">
                  <c:v>17.500000000000007</c:v>
                </c:pt>
                <c:pt idx="2">
                  <c:v>10</c:v>
                </c:pt>
                <c:pt idx="3">
                  <c:v>5</c:v>
                </c:pt>
                <c:pt idx="4">
                  <c:v>1.4285714285714306</c:v>
                </c:pt>
                <c:pt idx="5">
                  <c:v>-1.25</c:v>
                </c:pt>
                <c:pt idx="6">
                  <c:v>-3.3333333333333321</c:v>
                </c:pt>
                <c:pt idx="7">
                  <c:v>-4.9999999999999982</c:v>
                </c:pt>
                <c:pt idx="8">
                  <c:v>-6.3636363636363633</c:v>
                </c:pt>
                <c:pt idx="9">
                  <c:v>-7.5000000000000018</c:v>
                </c:pt>
                <c:pt idx="10">
                  <c:v>-8.4615384615384617</c:v>
                </c:pt>
              </c:numCache>
            </c:numRef>
          </c:val>
          <c:smooth val="0"/>
          <c:extLst>
            <c:ext xmlns:c16="http://schemas.microsoft.com/office/drawing/2014/chart" uri="{C3380CC4-5D6E-409C-BE32-E72D297353CC}">
              <c16:uniqueId val="{00000001-ADE5-B640-8A2C-81E741F1EAF6}"/>
            </c:ext>
          </c:extLst>
        </c:ser>
        <c:dLbls>
          <c:showLegendKey val="0"/>
          <c:showVal val="0"/>
          <c:showCatName val="0"/>
          <c:showSerName val="0"/>
          <c:showPercent val="0"/>
          <c:showBubbleSize val="0"/>
        </c:dLbls>
        <c:smooth val="0"/>
        <c:axId val="622301632"/>
        <c:axId val="622303280"/>
      </c:lineChart>
      <c:catAx>
        <c:axId val="62230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crossAx val="622303280"/>
        <c:crosses val="autoZero"/>
        <c:auto val="1"/>
        <c:lblAlgn val="ctr"/>
        <c:lblOffset val="100"/>
        <c:noMultiLvlLbl val="0"/>
      </c:catAx>
      <c:valAx>
        <c:axId val="622303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crossAx val="62230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Swedish Yield Curve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PT"/>
        </a:p>
      </c:txPr>
    </c:title>
    <c:autoTitleDeleted val="0"/>
    <c:plotArea>
      <c:layout/>
      <c:lineChart>
        <c:grouping val="standard"/>
        <c:varyColors val="0"/>
        <c:ser>
          <c:idx val="0"/>
          <c:order val="0"/>
          <c:tx>
            <c:strRef>
              <c:f>'Part 2'!$B$96</c:f>
              <c:strCache>
                <c:ptCount val="1"/>
                <c:pt idx="0">
                  <c:v>2019 January</c:v>
                </c:pt>
              </c:strCache>
            </c:strRef>
          </c:tx>
          <c:spPr>
            <a:ln w="28575" cap="rnd">
              <a:solidFill>
                <a:schemeClr val="accent1"/>
              </a:solidFill>
              <a:round/>
            </a:ln>
            <a:effectLst/>
          </c:spPr>
          <c:marker>
            <c:symbol val="none"/>
          </c:marker>
          <c:cat>
            <c:strRef>
              <c:f>'Part 2'!$C$95:$I$95</c:f>
              <c:strCache>
                <c:ptCount val="7"/>
                <c:pt idx="0">
                  <c:v>1M</c:v>
                </c:pt>
                <c:pt idx="1">
                  <c:v>3M</c:v>
                </c:pt>
                <c:pt idx="2">
                  <c:v>6M</c:v>
                </c:pt>
                <c:pt idx="3">
                  <c:v>2Y</c:v>
                </c:pt>
                <c:pt idx="4">
                  <c:v>5y</c:v>
                </c:pt>
                <c:pt idx="5">
                  <c:v>7Y</c:v>
                </c:pt>
                <c:pt idx="6">
                  <c:v>10Y</c:v>
                </c:pt>
              </c:strCache>
            </c:strRef>
          </c:cat>
          <c:val>
            <c:numRef>
              <c:f>'Part 2'!$C$96:$I$96</c:f>
              <c:numCache>
                <c:formatCode>#,##0.00</c:formatCode>
                <c:ptCount val="7"/>
                <c:pt idx="0">
                  <c:v>-0.45</c:v>
                </c:pt>
                <c:pt idx="1">
                  <c:v>-0.44</c:v>
                </c:pt>
                <c:pt idx="2">
                  <c:v>-0.35</c:v>
                </c:pt>
                <c:pt idx="3">
                  <c:v>-0.39</c:v>
                </c:pt>
                <c:pt idx="4">
                  <c:v>-0.05</c:v>
                </c:pt>
                <c:pt idx="5">
                  <c:v>0.28000000000000003</c:v>
                </c:pt>
                <c:pt idx="6">
                  <c:v>0.43</c:v>
                </c:pt>
              </c:numCache>
            </c:numRef>
          </c:val>
          <c:smooth val="0"/>
          <c:extLst>
            <c:ext xmlns:c16="http://schemas.microsoft.com/office/drawing/2014/chart" uri="{C3380CC4-5D6E-409C-BE32-E72D297353CC}">
              <c16:uniqueId val="{00000000-2557-FC4E-8108-309E837681E7}"/>
            </c:ext>
          </c:extLst>
        </c:ser>
        <c:ser>
          <c:idx val="1"/>
          <c:order val="1"/>
          <c:tx>
            <c:strRef>
              <c:f>'Part 2'!$B$97</c:f>
              <c:strCache>
                <c:ptCount val="1"/>
                <c:pt idx="0">
                  <c:v>2019 December</c:v>
                </c:pt>
              </c:strCache>
            </c:strRef>
          </c:tx>
          <c:spPr>
            <a:ln w="28575" cap="rnd">
              <a:solidFill>
                <a:schemeClr val="accent2"/>
              </a:solidFill>
              <a:round/>
            </a:ln>
            <a:effectLst/>
          </c:spPr>
          <c:marker>
            <c:symbol val="none"/>
          </c:marker>
          <c:cat>
            <c:strRef>
              <c:f>'Part 2'!$C$95:$I$95</c:f>
              <c:strCache>
                <c:ptCount val="7"/>
                <c:pt idx="0">
                  <c:v>1M</c:v>
                </c:pt>
                <c:pt idx="1">
                  <c:v>3M</c:v>
                </c:pt>
                <c:pt idx="2">
                  <c:v>6M</c:v>
                </c:pt>
                <c:pt idx="3">
                  <c:v>2Y</c:v>
                </c:pt>
                <c:pt idx="4">
                  <c:v>5y</c:v>
                </c:pt>
                <c:pt idx="5">
                  <c:v>7Y</c:v>
                </c:pt>
                <c:pt idx="6">
                  <c:v>10Y</c:v>
                </c:pt>
              </c:strCache>
            </c:strRef>
          </c:cat>
          <c:val>
            <c:numRef>
              <c:f>'Part 2'!$C$97:$I$97</c:f>
              <c:numCache>
                <c:formatCode>#,##0.00</c:formatCode>
                <c:ptCount val="7"/>
                <c:pt idx="0">
                  <c:v>-0.42</c:v>
                </c:pt>
                <c:pt idx="1">
                  <c:v>-0.46</c:v>
                </c:pt>
                <c:pt idx="2">
                  <c:v>-0.49</c:v>
                </c:pt>
                <c:pt idx="3">
                  <c:v>-0.31</c:v>
                </c:pt>
                <c:pt idx="4">
                  <c:v>-0.28000000000000003</c:v>
                </c:pt>
                <c:pt idx="5">
                  <c:v>-0.13</c:v>
                </c:pt>
                <c:pt idx="6">
                  <c:v>7.0000000000000007E-2</c:v>
                </c:pt>
              </c:numCache>
            </c:numRef>
          </c:val>
          <c:smooth val="0"/>
          <c:extLst>
            <c:ext xmlns:c16="http://schemas.microsoft.com/office/drawing/2014/chart" uri="{C3380CC4-5D6E-409C-BE32-E72D297353CC}">
              <c16:uniqueId val="{00000001-2557-FC4E-8108-309E837681E7}"/>
            </c:ext>
          </c:extLst>
        </c:ser>
        <c:dLbls>
          <c:showLegendKey val="0"/>
          <c:showVal val="0"/>
          <c:showCatName val="0"/>
          <c:showSerName val="0"/>
          <c:showPercent val="0"/>
          <c:showBubbleSize val="0"/>
        </c:dLbls>
        <c:smooth val="0"/>
        <c:axId val="649890592"/>
        <c:axId val="650030496"/>
      </c:lineChart>
      <c:catAx>
        <c:axId val="64989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crossAx val="650030496"/>
        <c:crosses val="autoZero"/>
        <c:auto val="1"/>
        <c:lblAlgn val="ctr"/>
        <c:lblOffset val="100"/>
        <c:noMultiLvlLbl val="0"/>
      </c:catAx>
      <c:valAx>
        <c:axId val="6500304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crossAx val="64989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P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520701</xdr:colOff>
      <xdr:row>1</xdr:row>
      <xdr:rowOff>177800</xdr:rowOff>
    </xdr:from>
    <xdr:to>
      <xdr:col>4</xdr:col>
      <xdr:colOff>214063</xdr:colOff>
      <xdr:row>16</xdr:row>
      <xdr:rowOff>165100</xdr:rowOff>
    </xdr:to>
    <xdr:pic>
      <xdr:nvPicPr>
        <xdr:cNvPr id="2" name="Picture 1">
          <a:extLst>
            <a:ext uri="{FF2B5EF4-FFF2-40B4-BE49-F238E27FC236}">
              <a16:creationId xmlns:a16="http://schemas.microsoft.com/office/drawing/2014/main" id="{27908C1C-9642-D541-9142-51DD18D026C8}"/>
            </a:ext>
          </a:extLst>
        </xdr:cNvPr>
        <xdr:cNvPicPr>
          <a:picLocks noChangeAspect="1"/>
        </xdr:cNvPicPr>
      </xdr:nvPicPr>
      <xdr:blipFill>
        <a:blip xmlns:r="http://schemas.openxmlformats.org/officeDocument/2006/relationships" r:embed="rId1"/>
        <a:stretch>
          <a:fillRect/>
        </a:stretch>
      </xdr:blipFill>
      <xdr:spPr>
        <a:xfrm>
          <a:off x="520701" y="381000"/>
          <a:ext cx="2995362" cy="303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97693</xdr:colOff>
      <xdr:row>36</xdr:row>
      <xdr:rowOff>191477</xdr:rowOff>
    </xdr:from>
    <xdr:to>
      <xdr:col>12</xdr:col>
      <xdr:colOff>48846</xdr:colOff>
      <xdr:row>63</xdr:row>
      <xdr:rowOff>39077</xdr:rowOff>
    </xdr:to>
    <xdr:graphicFrame macro="">
      <xdr:nvGraphicFramePr>
        <xdr:cNvPr id="2" name="Chart 1">
          <a:extLst>
            <a:ext uri="{FF2B5EF4-FFF2-40B4-BE49-F238E27FC236}">
              <a16:creationId xmlns:a16="http://schemas.microsoft.com/office/drawing/2014/main" id="{EC4E5078-0B0F-714E-9955-0B34DBC943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241300</xdr:colOff>
      <xdr:row>294</xdr:row>
      <xdr:rowOff>69850</xdr:rowOff>
    </xdr:from>
    <xdr:to>
      <xdr:col>20</xdr:col>
      <xdr:colOff>38100</xdr:colOff>
      <xdr:row>314</xdr:row>
      <xdr:rowOff>127000</xdr:rowOff>
    </xdr:to>
    <xdr:graphicFrame macro="">
      <xdr:nvGraphicFramePr>
        <xdr:cNvPr id="3" name="Chart 2">
          <a:extLst>
            <a:ext uri="{FF2B5EF4-FFF2-40B4-BE49-F238E27FC236}">
              <a16:creationId xmlns:a16="http://schemas.microsoft.com/office/drawing/2014/main" id="{6C3A1EFE-D673-1748-A904-0F2C2599B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98</xdr:row>
      <xdr:rowOff>44450</xdr:rowOff>
    </xdr:from>
    <xdr:to>
      <xdr:col>7</xdr:col>
      <xdr:colOff>774700</xdr:colOff>
      <xdr:row>116</xdr:row>
      <xdr:rowOff>88900</xdr:rowOff>
    </xdr:to>
    <xdr:graphicFrame macro="">
      <xdr:nvGraphicFramePr>
        <xdr:cNvPr id="2" name="Chart 1">
          <a:extLst>
            <a:ext uri="{FF2B5EF4-FFF2-40B4-BE49-F238E27FC236}">
              <a16:creationId xmlns:a16="http://schemas.microsoft.com/office/drawing/2014/main" id="{16A240AE-22ED-4344-A22B-5633883949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A1D6-56AA-D442-861B-4B585E5633E2}">
  <dimension ref="A20:A25"/>
  <sheetViews>
    <sheetView tabSelected="1" zoomScale="80" zoomScaleNormal="80" workbookViewId="0">
      <selection activeCell="F7" sqref="F7"/>
    </sheetView>
  </sheetViews>
  <sheetFormatPr baseColWidth="10" defaultRowHeight="16" x14ac:dyDescent="0.2"/>
  <cols>
    <col min="1" max="16384" width="10.83203125" style="1"/>
  </cols>
  <sheetData>
    <row r="20" spans="1:1" ht="62" x14ac:dyDescent="0.7">
      <c r="A20" s="6" t="s">
        <v>0</v>
      </c>
    </row>
    <row r="21" spans="1:1" ht="80" customHeight="1" x14ac:dyDescent="0.7">
      <c r="A21" s="6" t="s">
        <v>1</v>
      </c>
    </row>
    <row r="22" spans="1:1" x14ac:dyDescent="0.2">
      <c r="A22" s="7"/>
    </row>
    <row r="23" spans="1:1" x14ac:dyDescent="0.2">
      <c r="A23" s="7"/>
    </row>
    <row r="24" spans="1:1" x14ac:dyDescent="0.2">
      <c r="A24" s="7"/>
    </row>
    <row r="25" spans="1:1" ht="31" x14ac:dyDescent="0.35">
      <c r="A25" s="8" t="s">
        <v>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B66C-DDFA-A84C-A0DD-D4FFE388E1F3}">
  <dimension ref="A1:S344"/>
  <sheetViews>
    <sheetView zoomScaleNormal="100" workbookViewId="0"/>
  </sheetViews>
  <sheetFormatPr baseColWidth="10" defaultRowHeight="16" x14ac:dyDescent="0.2"/>
  <cols>
    <col min="1" max="1" width="12.1640625" style="12" customWidth="1"/>
    <col min="2" max="2" width="18.6640625" style="1" customWidth="1"/>
    <col min="3" max="3" width="19.6640625" style="1" customWidth="1"/>
    <col min="4" max="4" width="13.6640625" style="1" bestFit="1" customWidth="1"/>
    <col min="5" max="5" width="10.83203125" style="1"/>
    <col min="6" max="6" width="11.6640625" style="1" bestFit="1" customWidth="1"/>
    <col min="7" max="8" width="10.83203125" style="1"/>
    <col min="9" max="9" width="11.1640625" style="1" bestFit="1" customWidth="1"/>
    <col min="10" max="16384" width="10.83203125" style="1"/>
  </cols>
  <sheetData>
    <row r="1" spans="1:8" x14ac:dyDescent="0.2">
      <c r="A1" s="9" t="s">
        <v>3</v>
      </c>
    </row>
    <row r="3" spans="1:8" x14ac:dyDescent="0.2">
      <c r="A3" s="11">
        <v>1</v>
      </c>
      <c r="B3" s="5"/>
      <c r="C3" s="5"/>
      <c r="D3" s="5"/>
      <c r="E3" s="5"/>
      <c r="F3" s="5"/>
      <c r="G3" s="5"/>
      <c r="H3" s="5"/>
    </row>
    <row r="4" spans="1:8" x14ac:dyDescent="0.2">
      <c r="B4" s="58" t="s">
        <v>7</v>
      </c>
      <c r="C4" s="58" t="s">
        <v>8</v>
      </c>
      <c r="D4" s="59"/>
      <c r="E4" s="59"/>
      <c r="F4" s="59"/>
      <c r="G4" s="59"/>
      <c r="H4" s="59"/>
    </row>
    <row r="5" spans="1:8" x14ac:dyDescent="0.2">
      <c r="A5" s="12" t="s">
        <v>4</v>
      </c>
      <c r="B5" s="60" t="s">
        <v>9</v>
      </c>
      <c r="C5" s="61">
        <f>1000*(1+0.07)^5</f>
        <v>1402.5517307000002</v>
      </c>
      <c r="D5" s="59"/>
      <c r="E5" s="59"/>
      <c r="F5" s="59"/>
      <c r="G5" s="59"/>
      <c r="H5" s="59"/>
    </row>
    <row r="6" spans="1:8" x14ac:dyDescent="0.2">
      <c r="B6" s="62"/>
      <c r="C6" s="61"/>
      <c r="D6" s="59"/>
      <c r="E6" s="59"/>
      <c r="F6" s="59"/>
      <c r="G6" s="59"/>
      <c r="H6" s="59"/>
    </row>
    <row r="7" spans="1:8" x14ac:dyDescent="0.2">
      <c r="A7" s="12" t="s">
        <v>5</v>
      </c>
      <c r="B7" s="60" t="s">
        <v>10</v>
      </c>
      <c r="C7" s="61">
        <f>1000*(1+0.1)^5</f>
        <v>1610.5100000000004</v>
      </c>
      <c r="D7" s="59"/>
      <c r="E7" s="59"/>
      <c r="F7" s="59"/>
      <c r="G7" s="59"/>
      <c r="H7" s="59"/>
    </row>
    <row r="8" spans="1:8" x14ac:dyDescent="0.2">
      <c r="B8" s="62"/>
      <c r="C8" s="61"/>
      <c r="D8" s="59"/>
      <c r="E8" s="59"/>
      <c r="F8" s="59"/>
      <c r="G8" s="59"/>
      <c r="H8" s="59"/>
    </row>
    <row r="9" spans="1:8" x14ac:dyDescent="0.2">
      <c r="A9" s="12" t="s">
        <v>6</v>
      </c>
      <c r="B9" s="60" t="s">
        <v>11</v>
      </c>
      <c r="C9" s="61">
        <f>1000*(1+0.07)^10</f>
        <v>1967.1513572895656</v>
      </c>
      <c r="D9" s="59"/>
      <c r="E9" s="59"/>
      <c r="F9" s="59"/>
      <c r="G9" s="59"/>
      <c r="H9" s="59"/>
    </row>
    <row r="10" spans="1:8" x14ac:dyDescent="0.2">
      <c r="B10" s="62"/>
      <c r="C10" s="62"/>
      <c r="D10" s="59"/>
      <c r="E10" s="59"/>
      <c r="F10" s="59"/>
      <c r="G10" s="59"/>
      <c r="H10" s="59"/>
    </row>
    <row r="11" spans="1:8" x14ac:dyDescent="0.2">
      <c r="A11" s="12" t="s">
        <v>12</v>
      </c>
      <c r="B11" s="170" t="s">
        <v>13</v>
      </c>
      <c r="C11" s="171"/>
      <c r="D11" s="171"/>
      <c r="E11" s="171"/>
      <c r="F11" s="171"/>
      <c r="G11" s="171"/>
      <c r="H11" s="59"/>
    </row>
    <row r="12" spans="1:8" x14ac:dyDescent="0.2">
      <c r="B12" s="170"/>
      <c r="C12" s="171"/>
      <c r="D12" s="171"/>
      <c r="E12" s="171"/>
      <c r="F12" s="171"/>
      <c r="G12" s="171"/>
      <c r="H12" s="59"/>
    </row>
    <row r="13" spans="1:8" x14ac:dyDescent="0.2">
      <c r="B13" s="170"/>
      <c r="C13" s="171"/>
      <c r="D13" s="171"/>
      <c r="E13" s="171"/>
      <c r="F13" s="171"/>
      <c r="G13" s="171"/>
      <c r="H13" s="59"/>
    </row>
    <row r="14" spans="1:8" x14ac:dyDescent="0.2">
      <c r="B14" s="59"/>
      <c r="C14" s="59"/>
      <c r="D14" s="59"/>
      <c r="E14" s="59"/>
      <c r="F14" s="59"/>
      <c r="G14" s="59"/>
      <c r="H14" s="59"/>
    </row>
    <row r="15" spans="1:8" x14ac:dyDescent="0.2">
      <c r="B15" s="59"/>
      <c r="C15" s="59"/>
      <c r="D15" s="59"/>
      <c r="E15" s="59"/>
      <c r="F15" s="59"/>
      <c r="G15" s="59"/>
      <c r="H15" s="59"/>
    </row>
    <row r="16" spans="1:8" x14ac:dyDescent="0.2">
      <c r="B16" s="59"/>
      <c r="C16" s="59"/>
      <c r="D16" s="59"/>
      <c r="E16" s="59"/>
      <c r="F16" s="59"/>
      <c r="G16" s="59"/>
      <c r="H16" s="59"/>
    </row>
    <row r="17" spans="1:8" x14ac:dyDescent="0.2">
      <c r="A17" s="11">
        <v>2</v>
      </c>
      <c r="B17" s="63"/>
      <c r="C17" s="63"/>
      <c r="D17" s="63"/>
      <c r="E17" s="63"/>
      <c r="F17" s="63"/>
      <c r="G17" s="63"/>
      <c r="H17" s="63"/>
    </row>
    <row r="18" spans="1:8" x14ac:dyDescent="0.2">
      <c r="B18" s="58" t="s">
        <v>7</v>
      </c>
      <c r="C18" s="58" t="s">
        <v>8</v>
      </c>
      <c r="D18" s="59"/>
      <c r="E18" s="59"/>
      <c r="F18" s="59"/>
      <c r="G18" s="59"/>
      <c r="H18" s="59"/>
    </row>
    <row r="19" spans="1:8" x14ac:dyDescent="0.2">
      <c r="A19" s="12" t="s">
        <v>4</v>
      </c>
      <c r="B19" s="60" t="s">
        <v>14</v>
      </c>
      <c r="C19" s="61">
        <f>1000/(1+0.1)^2</f>
        <v>826.44628099173542</v>
      </c>
      <c r="D19" s="59"/>
      <c r="E19" s="59"/>
      <c r="F19" s="59"/>
      <c r="G19" s="59"/>
      <c r="H19" s="59"/>
    </row>
    <row r="20" spans="1:8" x14ac:dyDescent="0.2">
      <c r="B20" s="62"/>
      <c r="C20" s="61"/>
      <c r="D20" s="59"/>
      <c r="E20" s="59"/>
      <c r="F20" s="59"/>
      <c r="G20" s="59"/>
      <c r="H20" s="59"/>
    </row>
    <row r="21" spans="1:8" x14ac:dyDescent="0.2">
      <c r="A21" s="12" t="s">
        <v>5</v>
      </c>
      <c r="B21" s="60" t="s">
        <v>16</v>
      </c>
      <c r="C21" s="61">
        <f>2000/(1+0.1)^1</f>
        <v>1818.181818181818</v>
      </c>
      <c r="D21" s="59"/>
      <c r="E21" s="59"/>
      <c r="F21" s="59"/>
      <c r="G21" s="59"/>
      <c r="H21" s="59"/>
    </row>
    <row r="22" spans="1:8" x14ac:dyDescent="0.2">
      <c r="B22" s="62"/>
      <c r="C22" s="61"/>
      <c r="D22" s="59"/>
      <c r="E22" s="59"/>
      <c r="F22" s="59"/>
      <c r="G22" s="59"/>
      <c r="H22" s="59"/>
    </row>
    <row r="23" spans="1:8" x14ac:dyDescent="0.2">
      <c r="A23" s="12" t="s">
        <v>6</v>
      </c>
      <c r="B23" s="60" t="s">
        <v>15</v>
      </c>
      <c r="C23" s="61">
        <f>10000/(1+0.1)^8</f>
        <v>4665.0738020973313</v>
      </c>
      <c r="D23" s="59"/>
      <c r="E23" s="59"/>
      <c r="F23" s="59"/>
      <c r="G23" s="59"/>
      <c r="H23" s="59"/>
    </row>
    <row r="24" spans="1:8" x14ac:dyDescent="0.2">
      <c r="B24" s="59"/>
      <c r="C24" s="64"/>
      <c r="D24" s="59"/>
      <c r="E24" s="59"/>
      <c r="F24" s="59"/>
      <c r="G24" s="59"/>
      <c r="H24" s="59"/>
    </row>
    <row r="25" spans="1:8" x14ac:dyDescent="0.2">
      <c r="B25" s="59"/>
      <c r="C25" s="59"/>
      <c r="D25" s="59"/>
      <c r="E25" s="59"/>
      <c r="F25" s="59"/>
      <c r="G25" s="59"/>
      <c r="H25" s="59"/>
    </row>
    <row r="26" spans="1:8" x14ac:dyDescent="0.2">
      <c r="B26" s="59"/>
      <c r="C26" s="59"/>
      <c r="D26" s="59"/>
      <c r="E26" s="59"/>
      <c r="F26" s="59"/>
      <c r="G26" s="59"/>
      <c r="H26" s="59"/>
    </row>
    <row r="27" spans="1:8" x14ac:dyDescent="0.2">
      <c r="B27" s="59"/>
      <c r="C27" s="59"/>
      <c r="D27" s="59"/>
      <c r="E27" s="59"/>
      <c r="F27" s="59"/>
      <c r="G27" s="59"/>
      <c r="H27" s="59"/>
    </row>
    <row r="28" spans="1:8" x14ac:dyDescent="0.2">
      <c r="A28" s="11">
        <v>3</v>
      </c>
      <c r="B28" s="63"/>
      <c r="C28" s="63"/>
      <c r="D28" s="63"/>
      <c r="E28" s="63"/>
      <c r="F28" s="63"/>
      <c r="G28" s="63"/>
      <c r="H28" s="63"/>
    </row>
    <row r="29" spans="1:8" x14ac:dyDescent="0.2">
      <c r="B29" s="65" t="s">
        <v>7</v>
      </c>
      <c r="C29" s="59"/>
      <c r="D29" s="65" t="s">
        <v>8</v>
      </c>
      <c r="E29" s="59"/>
      <c r="F29" s="59"/>
      <c r="G29" s="59"/>
      <c r="H29" s="59"/>
    </row>
    <row r="30" spans="1:8" x14ac:dyDescent="0.2">
      <c r="A30" s="12" t="s">
        <v>4</v>
      </c>
      <c r="B30" s="59" t="s">
        <v>17</v>
      </c>
      <c r="C30" s="59"/>
      <c r="D30" s="59">
        <f xml:space="preserve"> -60000 + 70000/(1+0.1)^1</f>
        <v>3636.3636363636324</v>
      </c>
      <c r="E30" s="59"/>
      <c r="F30" s="59"/>
      <c r="G30" s="59"/>
      <c r="H30" s="59"/>
    </row>
    <row r="31" spans="1:8" x14ac:dyDescent="0.2">
      <c r="B31" s="59"/>
      <c r="C31" s="59"/>
      <c r="D31" s="59"/>
      <c r="E31" s="59"/>
      <c r="F31" s="59"/>
      <c r="G31" s="59"/>
      <c r="H31" s="59"/>
    </row>
    <row r="32" spans="1:8" x14ac:dyDescent="0.2">
      <c r="B32" s="59" t="s">
        <v>18</v>
      </c>
      <c r="C32" s="59"/>
      <c r="D32" s="59"/>
      <c r="E32" s="59"/>
      <c r="F32" s="59"/>
      <c r="G32" s="59"/>
      <c r="H32" s="59"/>
    </row>
    <row r="33" spans="1:8" x14ac:dyDescent="0.2">
      <c r="B33" s="59"/>
      <c r="C33" s="59"/>
      <c r="D33" s="59"/>
      <c r="E33" s="59"/>
      <c r="F33" s="59"/>
      <c r="G33" s="59"/>
      <c r="H33" s="59"/>
    </row>
    <row r="34" spans="1:8" x14ac:dyDescent="0.2">
      <c r="A34" s="12" t="s">
        <v>5</v>
      </c>
      <c r="B34" s="59" t="s">
        <v>19</v>
      </c>
      <c r="C34" s="59"/>
      <c r="D34" s="59"/>
      <c r="E34" s="59"/>
      <c r="F34" s="59"/>
      <c r="G34" s="59"/>
      <c r="H34" s="59"/>
    </row>
    <row r="36" spans="1:8" x14ac:dyDescent="0.2">
      <c r="B36" s="2" t="s">
        <v>20</v>
      </c>
      <c r="C36" s="2"/>
    </row>
    <row r="37" spans="1:8" x14ac:dyDescent="0.2">
      <c r="B37" s="13" t="s">
        <v>21</v>
      </c>
      <c r="C37" s="13" t="s">
        <v>22</v>
      </c>
    </row>
    <row r="38" spans="1:8" x14ac:dyDescent="0.2">
      <c r="B38" s="4">
        <v>0</v>
      </c>
      <c r="C38" s="10">
        <f xml:space="preserve"> -60000 + 70000/(1+B38)^1</f>
        <v>10000</v>
      </c>
    </row>
    <row r="39" spans="1:8" x14ac:dyDescent="0.2">
      <c r="B39" s="4">
        <v>0.01</v>
      </c>
      <c r="C39" s="10">
        <f t="shared" ref="C39:C63" si="0" xml:space="preserve"> -60000 + 70000/(1+B39)^1</f>
        <v>9306.9306930693128</v>
      </c>
    </row>
    <row r="40" spans="1:8" x14ac:dyDescent="0.2">
      <c r="B40" s="4">
        <v>0.02</v>
      </c>
      <c r="C40" s="10">
        <f t="shared" si="0"/>
        <v>8627.4509803921537</v>
      </c>
    </row>
    <row r="41" spans="1:8" x14ac:dyDescent="0.2">
      <c r="B41" s="4">
        <v>0.03</v>
      </c>
      <c r="C41" s="10">
        <f t="shared" si="0"/>
        <v>7961.165048543684</v>
      </c>
    </row>
    <row r="42" spans="1:8" x14ac:dyDescent="0.2">
      <c r="B42" s="4">
        <v>0.04</v>
      </c>
      <c r="C42" s="10">
        <f t="shared" si="0"/>
        <v>7307.6923076923122</v>
      </c>
    </row>
    <row r="43" spans="1:8" x14ac:dyDescent="0.2">
      <c r="B43" s="4">
        <v>0.05</v>
      </c>
      <c r="C43" s="10">
        <f t="shared" si="0"/>
        <v>6666.666666666657</v>
      </c>
    </row>
    <row r="44" spans="1:8" x14ac:dyDescent="0.2">
      <c r="B44" s="4">
        <v>0.06</v>
      </c>
      <c r="C44" s="10">
        <f t="shared" si="0"/>
        <v>6037.7358490565966</v>
      </c>
    </row>
    <row r="45" spans="1:8" x14ac:dyDescent="0.2">
      <c r="B45" s="4">
        <v>7.0000000000000007E-2</v>
      </c>
      <c r="C45" s="10">
        <f t="shared" si="0"/>
        <v>5420.5607476635487</v>
      </c>
    </row>
    <row r="46" spans="1:8" x14ac:dyDescent="0.2">
      <c r="B46" s="4">
        <v>0.08</v>
      </c>
      <c r="C46" s="10">
        <f t="shared" si="0"/>
        <v>4814.8148148148102</v>
      </c>
    </row>
    <row r="47" spans="1:8" x14ac:dyDescent="0.2">
      <c r="B47" s="4">
        <v>0.09</v>
      </c>
      <c r="C47" s="10">
        <f t="shared" si="0"/>
        <v>4220.1834862385294</v>
      </c>
    </row>
    <row r="48" spans="1:8" x14ac:dyDescent="0.2">
      <c r="B48" s="4">
        <v>0.1</v>
      </c>
      <c r="C48" s="10">
        <f t="shared" si="0"/>
        <v>3636.3636363636324</v>
      </c>
    </row>
    <row r="49" spans="2:3" x14ac:dyDescent="0.2">
      <c r="B49" s="4">
        <v>0.11</v>
      </c>
      <c r="C49" s="10">
        <f t="shared" si="0"/>
        <v>3063.0630630630549</v>
      </c>
    </row>
    <row r="50" spans="2:3" x14ac:dyDescent="0.2">
      <c r="B50" s="4">
        <v>0.12</v>
      </c>
      <c r="C50" s="10">
        <f t="shared" si="0"/>
        <v>2499.9999999999927</v>
      </c>
    </row>
    <row r="51" spans="2:3" x14ac:dyDescent="0.2">
      <c r="B51" s="4">
        <v>0.13</v>
      </c>
      <c r="C51" s="10">
        <f t="shared" si="0"/>
        <v>1946.9026548672628</v>
      </c>
    </row>
    <row r="52" spans="2:3" x14ac:dyDescent="0.2">
      <c r="B52" s="4">
        <v>0.14000000000000001</v>
      </c>
      <c r="C52" s="10">
        <f t="shared" si="0"/>
        <v>1403.5087719298172</v>
      </c>
    </row>
    <row r="53" spans="2:3" x14ac:dyDescent="0.2">
      <c r="B53" s="4">
        <v>0.15</v>
      </c>
      <c r="C53" s="10">
        <f t="shared" si="0"/>
        <v>869.56521739131131</v>
      </c>
    </row>
    <row r="54" spans="2:3" x14ac:dyDescent="0.2">
      <c r="B54" s="4">
        <v>0.16</v>
      </c>
      <c r="C54" s="10">
        <f t="shared" si="0"/>
        <v>344.82758620689856</v>
      </c>
    </row>
    <row r="55" spans="2:3" x14ac:dyDescent="0.2">
      <c r="B55" s="4">
        <v>0.17</v>
      </c>
      <c r="C55" s="10">
        <f t="shared" si="0"/>
        <v>-170.94017094016453</v>
      </c>
    </row>
    <row r="56" spans="2:3" x14ac:dyDescent="0.2">
      <c r="B56" s="4">
        <v>0.18</v>
      </c>
      <c r="C56" s="10">
        <f t="shared" si="0"/>
        <v>-677.96610169491032</v>
      </c>
    </row>
    <row r="57" spans="2:3" x14ac:dyDescent="0.2">
      <c r="B57" s="4">
        <v>0.19</v>
      </c>
      <c r="C57" s="10">
        <f t="shared" si="0"/>
        <v>-1176.4705882352937</v>
      </c>
    </row>
    <row r="58" spans="2:3" x14ac:dyDescent="0.2">
      <c r="B58" s="4">
        <v>0.2</v>
      </c>
      <c r="C58" s="10">
        <f t="shared" si="0"/>
        <v>-1666.6666666666642</v>
      </c>
    </row>
    <row r="59" spans="2:3" x14ac:dyDescent="0.2">
      <c r="B59" s="4">
        <v>0.21</v>
      </c>
      <c r="C59" s="10">
        <f t="shared" si="0"/>
        <v>-2148.7603305785087</v>
      </c>
    </row>
    <row r="60" spans="2:3" x14ac:dyDescent="0.2">
      <c r="B60" s="4">
        <v>0.22</v>
      </c>
      <c r="C60" s="10">
        <f t="shared" si="0"/>
        <v>-2622.950819672129</v>
      </c>
    </row>
    <row r="61" spans="2:3" x14ac:dyDescent="0.2">
      <c r="B61" s="4">
        <v>0.23</v>
      </c>
      <c r="C61" s="10">
        <f t="shared" si="0"/>
        <v>-3089.4308943089418</v>
      </c>
    </row>
    <row r="62" spans="2:3" x14ac:dyDescent="0.2">
      <c r="B62" s="4">
        <v>0.24</v>
      </c>
      <c r="C62" s="10">
        <f t="shared" si="0"/>
        <v>-3548.3870967741896</v>
      </c>
    </row>
    <row r="63" spans="2:3" x14ac:dyDescent="0.2">
      <c r="B63" s="4">
        <v>0.25</v>
      </c>
      <c r="C63" s="10">
        <f t="shared" si="0"/>
        <v>-4000</v>
      </c>
    </row>
    <row r="68" spans="1:14" x14ac:dyDescent="0.2">
      <c r="A68" s="11">
        <v>4</v>
      </c>
      <c r="B68" s="5"/>
      <c r="C68" s="5"/>
      <c r="D68" s="5"/>
      <c r="E68" s="5"/>
      <c r="F68" s="5"/>
      <c r="G68" s="5"/>
      <c r="H68" s="5"/>
    </row>
    <row r="70" spans="1:14" x14ac:dyDescent="0.2">
      <c r="B70" s="1" t="s">
        <v>23</v>
      </c>
      <c r="I70" s="20">
        <f>100000 * (1+0.12)^6 + 100000 * (1+0.12)^5 + 100000 * (1+0.12)^4 + 100000 * (1+0.12)^3</f>
        <v>671461.17283840023</v>
      </c>
    </row>
    <row r="74" spans="1:14" x14ac:dyDescent="0.2">
      <c r="A74" s="11">
        <v>5</v>
      </c>
      <c r="B74" s="5"/>
      <c r="C74" s="5"/>
      <c r="D74" s="5"/>
      <c r="E74" s="5"/>
      <c r="F74" s="5"/>
      <c r="G74" s="5"/>
      <c r="H74" s="5"/>
    </row>
    <row r="76" spans="1:14" x14ac:dyDescent="0.2">
      <c r="A76" s="12" t="s">
        <v>4</v>
      </c>
      <c r="B76" s="2" t="s">
        <v>25</v>
      </c>
    </row>
    <row r="77" spans="1:14" x14ac:dyDescent="0.2">
      <c r="B77" s="1" t="s">
        <v>26</v>
      </c>
      <c r="D77" s="14">
        <v>0</v>
      </c>
      <c r="E77" s="14">
        <v>1</v>
      </c>
      <c r="F77" s="14">
        <v>2</v>
      </c>
      <c r="G77" s="14">
        <v>3</v>
      </c>
      <c r="H77" s="14">
        <v>4</v>
      </c>
      <c r="I77" s="14">
        <v>5</v>
      </c>
      <c r="J77" s="14">
        <v>6</v>
      </c>
      <c r="K77" s="14">
        <v>7</v>
      </c>
      <c r="L77" s="14">
        <v>8</v>
      </c>
      <c r="M77" s="14">
        <v>9</v>
      </c>
      <c r="N77" s="14">
        <v>10</v>
      </c>
    </row>
    <row r="78" spans="1:14" x14ac:dyDescent="0.2">
      <c r="B78" s="1" t="s">
        <v>27</v>
      </c>
      <c r="D78" s="14"/>
      <c r="E78" s="14">
        <v>300</v>
      </c>
      <c r="F78" s="14">
        <v>300</v>
      </c>
      <c r="G78" s="14">
        <v>300</v>
      </c>
      <c r="H78" s="14">
        <v>300</v>
      </c>
      <c r="I78" s="14">
        <v>300</v>
      </c>
      <c r="J78" s="14">
        <v>300</v>
      </c>
      <c r="K78" s="14">
        <v>300</v>
      </c>
      <c r="L78" s="14">
        <v>300</v>
      </c>
      <c r="M78" s="14">
        <v>300</v>
      </c>
      <c r="N78" s="14">
        <v>300</v>
      </c>
    </row>
    <row r="79" spans="1:14" x14ac:dyDescent="0.2">
      <c r="B79" s="1" t="s">
        <v>28</v>
      </c>
      <c r="D79" s="21"/>
      <c r="E79" s="21">
        <f>1/(1+0.1)^E77</f>
        <v>0.90909090909090906</v>
      </c>
      <c r="F79" s="21">
        <f t="shared" ref="F79:N79" si="1">1/(1+0.1)^F77</f>
        <v>0.82644628099173545</v>
      </c>
      <c r="G79" s="21">
        <f t="shared" si="1"/>
        <v>0.75131480090157754</v>
      </c>
      <c r="H79" s="21">
        <f t="shared" si="1"/>
        <v>0.68301345536507052</v>
      </c>
      <c r="I79" s="21">
        <f t="shared" si="1"/>
        <v>0.62092132305915493</v>
      </c>
      <c r="J79" s="21">
        <f t="shared" si="1"/>
        <v>0.56447393005377722</v>
      </c>
      <c r="K79" s="21">
        <f t="shared" si="1"/>
        <v>0.51315811823070645</v>
      </c>
      <c r="L79" s="21">
        <f t="shared" si="1"/>
        <v>0.46650738020973315</v>
      </c>
      <c r="M79" s="21">
        <f t="shared" si="1"/>
        <v>0.42409761837248466</v>
      </c>
      <c r="N79" s="21">
        <f t="shared" si="1"/>
        <v>0.38554328942953148</v>
      </c>
    </row>
    <row r="80" spans="1:14" x14ac:dyDescent="0.2">
      <c r="B80" s="1" t="s">
        <v>30</v>
      </c>
      <c r="D80" s="21"/>
      <c r="E80" s="21">
        <f>E78*E79</f>
        <v>272.72727272727269</v>
      </c>
      <c r="F80" s="21">
        <f t="shared" ref="F80:N80" si="2">F78*F79</f>
        <v>247.93388429752065</v>
      </c>
      <c r="G80" s="21">
        <f t="shared" si="2"/>
        <v>225.39444027047327</v>
      </c>
      <c r="H80" s="21">
        <f t="shared" si="2"/>
        <v>204.90403660952114</v>
      </c>
      <c r="I80" s="21">
        <f t="shared" si="2"/>
        <v>186.27639691774647</v>
      </c>
      <c r="J80" s="21">
        <f t="shared" si="2"/>
        <v>169.34217901613317</v>
      </c>
      <c r="K80" s="21">
        <f t="shared" si="2"/>
        <v>153.94743546921194</v>
      </c>
      <c r="L80" s="21">
        <f t="shared" si="2"/>
        <v>139.95221406291995</v>
      </c>
      <c r="M80" s="21">
        <f t="shared" si="2"/>
        <v>127.2292855117454</v>
      </c>
      <c r="N80" s="21">
        <f t="shared" si="2"/>
        <v>115.66298682885945</v>
      </c>
    </row>
    <row r="82" spans="1:19" x14ac:dyDescent="0.2">
      <c r="B82" s="1" t="s">
        <v>29</v>
      </c>
      <c r="D82" s="19">
        <f>SUM(D80:N80)</f>
        <v>1843.3701317114044</v>
      </c>
    </row>
    <row r="84" spans="1:19" x14ac:dyDescent="0.2">
      <c r="B84" s="2" t="s">
        <v>654</v>
      </c>
    </row>
    <row r="85" spans="1:19" x14ac:dyDescent="0.2">
      <c r="B85" s="1" t="s">
        <v>24</v>
      </c>
      <c r="E85" s="19">
        <f xml:space="preserve"> 300 / 0.1 * (1-(1/(1+0.1)^10))</f>
        <v>1843.3701317114057</v>
      </c>
    </row>
    <row r="88" spans="1:19" x14ac:dyDescent="0.2">
      <c r="A88" s="12" t="s">
        <v>5</v>
      </c>
      <c r="B88" s="2" t="s">
        <v>25</v>
      </c>
    </row>
    <row r="89" spans="1:19" x14ac:dyDescent="0.2">
      <c r="B89" s="1" t="s">
        <v>26</v>
      </c>
      <c r="D89" s="14">
        <v>0</v>
      </c>
      <c r="E89" s="14">
        <v>1</v>
      </c>
      <c r="F89" s="14">
        <v>2</v>
      </c>
      <c r="G89" s="14">
        <v>3</v>
      </c>
      <c r="H89" s="14">
        <v>4</v>
      </c>
      <c r="I89" s="14">
        <v>5</v>
      </c>
      <c r="J89" s="14">
        <v>6</v>
      </c>
      <c r="K89" s="14">
        <v>7</v>
      </c>
      <c r="L89" s="14">
        <v>8</v>
      </c>
      <c r="M89" s="14">
        <v>9</v>
      </c>
      <c r="N89" s="14">
        <v>10</v>
      </c>
      <c r="O89" s="14">
        <v>11</v>
      </c>
      <c r="P89" s="14">
        <v>12</v>
      </c>
      <c r="Q89" s="14">
        <v>13</v>
      </c>
      <c r="R89" s="14">
        <v>14</v>
      </c>
      <c r="S89" s="14">
        <v>15</v>
      </c>
    </row>
    <row r="90" spans="1:19" x14ac:dyDescent="0.2">
      <c r="B90" s="1" t="s">
        <v>27</v>
      </c>
      <c r="D90" s="14"/>
      <c r="E90" s="14"/>
      <c r="F90" s="14"/>
      <c r="G90" s="14"/>
      <c r="H90" s="14"/>
      <c r="I90" s="14"/>
      <c r="J90" s="14">
        <v>300</v>
      </c>
      <c r="K90" s="14">
        <v>300</v>
      </c>
      <c r="L90" s="14">
        <v>300</v>
      </c>
      <c r="M90" s="14">
        <v>300</v>
      </c>
      <c r="N90" s="14">
        <v>300</v>
      </c>
      <c r="O90" s="14">
        <v>300</v>
      </c>
      <c r="P90" s="14">
        <v>300</v>
      </c>
      <c r="Q90" s="14">
        <v>300</v>
      </c>
      <c r="R90" s="14">
        <v>300</v>
      </c>
      <c r="S90" s="14">
        <v>300</v>
      </c>
    </row>
    <row r="91" spans="1:19" x14ac:dyDescent="0.2">
      <c r="B91" s="1" t="s">
        <v>28</v>
      </c>
      <c r="D91" s="21"/>
      <c r="E91" s="21"/>
      <c r="F91" s="21"/>
      <c r="G91" s="21"/>
      <c r="H91" s="21"/>
      <c r="I91" s="21"/>
      <c r="J91" s="21">
        <f t="shared" ref="J91:S91" si="3">1/(1+0.1)^J89</f>
        <v>0.56447393005377722</v>
      </c>
      <c r="K91" s="21">
        <f t="shared" si="3"/>
        <v>0.51315811823070645</v>
      </c>
      <c r="L91" s="21">
        <f t="shared" si="3"/>
        <v>0.46650738020973315</v>
      </c>
      <c r="M91" s="21">
        <f t="shared" si="3"/>
        <v>0.42409761837248466</v>
      </c>
      <c r="N91" s="21">
        <f t="shared" si="3"/>
        <v>0.38554328942953148</v>
      </c>
      <c r="O91" s="21">
        <f t="shared" si="3"/>
        <v>0.3504938994813922</v>
      </c>
      <c r="P91" s="21">
        <f t="shared" si="3"/>
        <v>0.31863081771035656</v>
      </c>
      <c r="Q91" s="21">
        <f t="shared" si="3"/>
        <v>0.28966437973668779</v>
      </c>
      <c r="R91" s="21">
        <f t="shared" si="3"/>
        <v>0.26333125430607973</v>
      </c>
      <c r="S91" s="21">
        <f t="shared" si="3"/>
        <v>0.23939204936916339</v>
      </c>
    </row>
    <row r="92" spans="1:19" x14ac:dyDescent="0.2">
      <c r="B92" s="1" t="s">
        <v>30</v>
      </c>
      <c r="D92" s="21"/>
      <c r="E92" s="21"/>
      <c r="F92" s="21"/>
      <c r="G92" s="21"/>
      <c r="H92" s="21"/>
      <c r="I92" s="21"/>
      <c r="J92" s="21">
        <f t="shared" ref="J92:S92" si="4">J90*J91</f>
        <v>169.34217901613317</v>
      </c>
      <c r="K92" s="21">
        <f t="shared" si="4"/>
        <v>153.94743546921194</v>
      </c>
      <c r="L92" s="21">
        <f t="shared" si="4"/>
        <v>139.95221406291995</v>
      </c>
      <c r="M92" s="21">
        <f t="shared" si="4"/>
        <v>127.2292855117454</v>
      </c>
      <c r="N92" s="21">
        <f t="shared" si="4"/>
        <v>115.66298682885945</v>
      </c>
      <c r="O92" s="21">
        <f t="shared" si="4"/>
        <v>105.14816984441767</v>
      </c>
      <c r="P92" s="21">
        <f t="shared" si="4"/>
        <v>95.589245313106971</v>
      </c>
      <c r="Q92" s="21">
        <f t="shared" si="4"/>
        <v>86.899313921006339</v>
      </c>
      <c r="R92" s="21">
        <f t="shared" si="4"/>
        <v>78.999376291823921</v>
      </c>
      <c r="S92" s="21">
        <f t="shared" si="4"/>
        <v>71.817614810749021</v>
      </c>
    </row>
    <row r="94" spans="1:19" x14ac:dyDescent="0.2">
      <c r="B94" s="1" t="s">
        <v>29</v>
      </c>
      <c r="D94" s="19">
        <f>SUM(D92:S92)</f>
        <v>1144.5878210699739</v>
      </c>
    </row>
    <row r="96" spans="1:19" x14ac:dyDescent="0.2">
      <c r="B96" s="2" t="s">
        <v>654</v>
      </c>
    </row>
    <row r="97" spans="1:8" x14ac:dyDescent="0.2">
      <c r="B97" s="1" t="s">
        <v>31</v>
      </c>
      <c r="E97" s="19"/>
      <c r="F97" s="19">
        <f xml:space="preserve"> (300 / 0.1 * (1-(1/(1+0.1)^10))) / ((1+0.1)^5)</f>
        <v>1144.5878210699748</v>
      </c>
    </row>
    <row r="102" spans="1:8" x14ac:dyDescent="0.2">
      <c r="A102" s="11">
        <v>6</v>
      </c>
      <c r="B102" s="5"/>
      <c r="C102" s="5"/>
      <c r="D102" s="5"/>
      <c r="E102" s="5"/>
      <c r="F102" s="5"/>
      <c r="G102" s="5"/>
      <c r="H102" s="5"/>
    </row>
    <row r="104" spans="1:8" x14ac:dyDescent="0.2">
      <c r="A104" s="12" t="s">
        <v>4</v>
      </c>
      <c r="B104" s="1" t="s">
        <v>111</v>
      </c>
    </row>
    <row r="105" spans="1:8" x14ac:dyDescent="0.2">
      <c r="C105" s="3" t="s">
        <v>112</v>
      </c>
      <c r="D105" s="3" t="s">
        <v>113</v>
      </c>
      <c r="E105" s="3" t="s">
        <v>114</v>
      </c>
    </row>
    <row r="106" spans="1:8" x14ac:dyDescent="0.2">
      <c r="B106" s="1" t="s">
        <v>115</v>
      </c>
      <c r="C106" s="22">
        <v>4.4999999999999998E-2</v>
      </c>
      <c r="D106" s="23">
        <v>4.4999999999999998E-2</v>
      </c>
      <c r="E106" s="22">
        <v>4.4999999999999998E-2</v>
      </c>
    </row>
    <row r="107" spans="1:8" x14ac:dyDescent="0.2">
      <c r="B107" s="1" t="s">
        <v>116</v>
      </c>
      <c r="C107" s="3">
        <v>2</v>
      </c>
      <c r="D107" s="3">
        <v>4</v>
      </c>
      <c r="E107" s="3">
        <v>12</v>
      </c>
    </row>
    <row r="108" spans="1:8" x14ac:dyDescent="0.2">
      <c r="B108" s="1" t="s">
        <v>117</v>
      </c>
      <c r="C108" s="18">
        <f>(1+C106/C107)^C107-1</f>
        <v>4.5506249999999859E-2</v>
      </c>
      <c r="D108" s="18">
        <f t="shared" ref="D108:E108" si="5">(1+D106/D107)^D107-1</f>
        <v>4.5765086330566307E-2</v>
      </c>
      <c r="E108" s="18">
        <f t="shared" si="5"/>
        <v>4.5939825040589577E-2</v>
      </c>
    </row>
    <row r="109" spans="1:8" x14ac:dyDescent="0.2">
      <c r="C109" s="3"/>
      <c r="D109" s="3"/>
      <c r="E109" s="3"/>
    </row>
    <row r="110" spans="1:8" x14ac:dyDescent="0.2">
      <c r="B110" s="1" t="s">
        <v>119</v>
      </c>
    </row>
    <row r="112" spans="1:8" x14ac:dyDescent="0.2">
      <c r="A112" s="12" t="s">
        <v>5</v>
      </c>
      <c r="B112" s="1" t="s">
        <v>118</v>
      </c>
      <c r="C112" s="4">
        <v>3.5</v>
      </c>
      <c r="D112" s="4">
        <v>3.5</v>
      </c>
      <c r="E112" s="4">
        <v>3.5</v>
      </c>
    </row>
    <row r="113" spans="1:8" x14ac:dyDescent="0.2">
      <c r="B113" s="1" t="s">
        <v>120</v>
      </c>
      <c r="C113" s="10">
        <f>100*(1+C106/C107)^(C107*C112)</f>
        <v>116.85390139999127</v>
      </c>
      <c r="D113" s="10">
        <f>100*(1+D106/D107)^(D107*D112)</f>
        <v>116.95518619558642</v>
      </c>
      <c r="E113" s="10">
        <f>100*(1+E106/E107)^(E107*E112)</f>
        <v>117.02359834297773</v>
      </c>
    </row>
    <row r="114" spans="1:8" x14ac:dyDescent="0.2">
      <c r="B114" s="1" t="s">
        <v>121</v>
      </c>
      <c r="C114" s="10">
        <f>100*(1+C108)^3.5</f>
        <v>116.85390139999126</v>
      </c>
      <c r="D114" s="10">
        <f t="shared" ref="D114:E114" si="6">100*(1+D108)^3.5</f>
        <v>116.95518619558642</v>
      </c>
      <c r="E114" s="10">
        <f t="shared" si="6"/>
        <v>117.02359834297773</v>
      </c>
    </row>
    <row r="115" spans="1:8" x14ac:dyDescent="0.2">
      <c r="C115" s="10"/>
      <c r="D115" s="10"/>
      <c r="E115" s="10"/>
    </row>
    <row r="116" spans="1:8" x14ac:dyDescent="0.2">
      <c r="B116" s="1" t="s">
        <v>122</v>
      </c>
      <c r="C116" s="10"/>
      <c r="D116" s="10"/>
      <c r="E116" s="10"/>
    </row>
    <row r="117" spans="1:8" x14ac:dyDescent="0.2">
      <c r="C117" s="10"/>
      <c r="D117" s="10"/>
      <c r="E117" s="10"/>
    </row>
    <row r="119" spans="1:8" x14ac:dyDescent="0.2">
      <c r="A119" s="11">
        <v>7</v>
      </c>
      <c r="B119" s="5"/>
      <c r="C119" s="5"/>
      <c r="D119" s="5"/>
      <c r="E119" s="5"/>
      <c r="F119" s="5"/>
      <c r="G119" s="5"/>
      <c r="H119" s="5"/>
    </row>
    <row r="121" spans="1:8" x14ac:dyDescent="0.2">
      <c r="B121" s="1" t="s">
        <v>785</v>
      </c>
    </row>
    <row r="122" spans="1:8" x14ac:dyDescent="0.2">
      <c r="B122" s="1" t="s">
        <v>786</v>
      </c>
      <c r="C122" s="27" t="s">
        <v>787</v>
      </c>
      <c r="D122" s="1">
        <f>(1+0.09/12)^12-1</f>
        <v>9.3806897670984268E-2</v>
      </c>
    </row>
    <row r="123" spans="1:8" x14ac:dyDescent="0.2">
      <c r="C123" s="27"/>
    </row>
    <row r="124" spans="1:8" x14ac:dyDescent="0.2">
      <c r="B124" s="1" t="s">
        <v>788</v>
      </c>
    </row>
    <row r="125" spans="1:8" x14ac:dyDescent="0.2">
      <c r="B125" s="1" t="s">
        <v>789</v>
      </c>
      <c r="C125" s="164" t="s">
        <v>790</v>
      </c>
      <c r="D125" s="163">
        <f>((1+D122)^(1/4)-1)*4</f>
        <v>9.067668750000113E-2</v>
      </c>
      <c r="E125" s="10"/>
    </row>
    <row r="126" spans="1:8" x14ac:dyDescent="0.2">
      <c r="C126" s="164"/>
      <c r="D126" s="163"/>
      <c r="E126" s="10"/>
    </row>
    <row r="127" spans="1:8" x14ac:dyDescent="0.2">
      <c r="B127" s="1" t="s">
        <v>791</v>
      </c>
      <c r="C127" s="164"/>
      <c r="D127" s="163"/>
      <c r="E127" s="10"/>
    </row>
    <row r="128" spans="1:8" x14ac:dyDescent="0.2">
      <c r="B128" s="1" t="s">
        <v>792</v>
      </c>
      <c r="C128" s="176" t="s">
        <v>793</v>
      </c>
      <c r="D128" s="176"/>
      <c r="E128" s="176"/>
      <c r="F128" s="1">
        <f>250/(D125/4)*(1-1/(1+(D125/4))^20)</f>
        <v>3984.4894136348612</v>
      </c>
    </row>
    <row r="130" spans="1:8" x14ac:dyDescent="0.2">
      <c r="A130" s="11">
        <v>8</v>
      </c>
      <c r="B130" s="5"/>
      <c r="C130" s="5"/>
      <c r="D130" s="5"/>
      <c r="E130" s="5"/>
      <c r="F130" s="5"/>
      <c r="G130" s="5"/>
      <c r="H130" s="5"/>
    </row>
    <row r="132" spans="1:8" x14ac:dyDescent="0.2">
      <c r="A132" s="12" t="s">
        <v>4</v>
      </c>
      <c r="B132" s="2" t="s">
        <v>38</v>
      </c>
    </row>
    <row r="133" spans="1:8" x14ac:dyDescent="0.2">
      <c r="B133" s="1" t="s">
        <v>32</v>
      </c>
    </row>
    <row r="135" spans="1:8" x14ac:dyDescent="0.2">
      <c r="B135" s="1" t="s">
        <v>33</v>
      </c>
    </row>
    <row r="136" spans="1:8" x14ac:dyDescent="0.2">
      <c r="B136" s="1" t="s">
        <v>34</v>
      </c>
    </row>
    <row r="138" spans="1:8" x14ac:dyDescent="0.2">
      <c r="B138" s="1" t="s">
        <v>35</v>
      </c>
      <c r="D138" s="1">
        <f xml:space="preserve"> (1+0.025)^2-1</f>
        <v>5.062499999999992E-2</v>
      </c>
    </row>
    <row r="140" spans="1:8" x14ac:dyDescent="0.2">
      <c r="B140" s="1" t="s">
        <v>36</v>
      </c>
    </row>
    <row r="142" spans="1:8" x14ac:dyDescent="0.2">
      <c r="B142" s="1" t="s">
        <v>37</v>
      </c>
      <c r="D142" s="19">
        <f>10000*(1+D138)^10</f>
        <v>16386.164402903956</v>
      </c>
    </row>
    <row r="144" spans="1:8" x14ac:dyDescent="0.2">
      <c r="B144" s="2" t="s">
        <v>39</v>
      </c>
    </row>
    <row r="146" spans="1:10" x14ac:dyDescent="0.2">
      <c r="B146" s="1" t="s">
        <v>40</v>
      </c>
      <c r="D146" s="19">
        <f>10000*(1+0.025)^20</f>
        <v>16386.164402903956</v>
      </c>
    </row>
    <row r="148" spans="1:10" x14ac:dyDescent="0.2">
      <c r="A148" s="12" t="s">
        <v>5</v>
      </c>
      <c r="B148" s="1" t="s">
        <v>41</v>
      </c>
      <c r="J148" s="19">
        <f xml:space="preserve"> LOG(2) / LOG(1+D138)</f>
        <v>14.035517262969337</v>
      </c>
    </row>
    <row r="150" spans="1:10" x14ac:dyDescent="0.2">
      <c r="B150" s="1" t="s">
        <v>42</v>
      </c>
    </row>
    <row r="152" spans="1:10" x14ac:dyDescent="0.2">
      <c r="A152" s="12" t="s">
        <v>6</v>
      </c>
      <c r="B152" s="1" t="s">
        <v>43</v>
      </c>
    </row>
    <row r="154" spans="1:10" x14ac:dyDescent="0.2">
      <c r="A154" s="12" t="s">
        <v>12</v>
      </c>
      <c r="B154" s="1" t="s">
        <v>44</v>
      </c>
    </row>
    <row r="156" spans="1:10" x14ac:dyDescent="0.2">
      <c r="B156" s="1" t="s">
        <v>45</v>
      </c>
    </row>
    <row r="158" spans="1:10" x14ac:dyDescent="0.2">
      <c r="B158" s="1" t="s">
        <v>46</v>
      </c>
      <c r="G158" s="16">
        <f xml:space="preserve"> ( 1.0506^(1/365) -1 ) * 365</f>
        <v>4.9364767428906609E-2</v>
      </c>
    </row>
    <row r="162" spans="1:18" x14ac:dyDescent="0.2">
      <c r="A162" s="11">
        <v>9</v>
      </c>
      <c r="B162" s="5"/>
      <c r="C162" s="5"/>
      <c r="D162" s="5"/>
      <c r="E162" s="5"/>
      <c r="F162" s="5"/>
      <c r="G162" s="5"/>
      <c r="H162" s="5"/>
    </row>
    <row r="164" spans="1:18" x14ac:dyDescent="0.2">
      <c r="B164" s="1" t="s">
        <v>26</v>
      </c>
      <c r="C164" s="1">
        <v>0</v>
      </c>
      <c r="D164" s="1">
        <v>1</v>
      </c>
      <c r="E164" s="1">
        <v>2</v>
      </c>
      <c r="F164" s="1">
        <v>3</v>
      </c>
      <c r="G164" s="1">
        <v>4</v>
      </c>
      <c r="H164" s="1">
        <v>5</v>
      </c>
      <c r="I164" s="1">
        <v>6</v>
      </c>
      <c r="J164" s="1">
        <v>7</v>
      </c>
      <c r="K164" s="1">
        <v>8</v>
      </c>
      <c r="L164" s="1">
        <v>9</v>
      </c>
      <c r="M164" s="1">
        <v>10</v>
      </c>
      <c r="N164" s="1">
        <v>11</v>
      </c>
      <c r="O164" s="1">
        <v>12</v>
      </c>
      <c r="P164" s="1">
        <v>13</v>
      </c>
      <c r="Q164" s="1">
        <v>14</v>
      </c>
      <c r="R164" s="1">
        <v>15</v>
      </c>
    </row>
    <row r="165" spans="1:18" x14ac:dyDescent="0.2">
      <c r="B165" s="1" t="s">
        <v>47</v>
      </c>
      <c r="D165" s="1">
        <v>-225000</v>
      </c>
      <c r="E165" s="1">
        <v>-225000</v>
      </c>
      <c r="F165" s="1">
        <v>-225000</v>
      </c>
      <c r="G165" s="1">
        <v>-225000</v>
      </c>
      <c r="H165" s="1">
        <v>-225000</v>
      </c>
      <c r="I165" s="1">
        <v>-225000</v>
      </c>
      <c r="J165" s="1">
        <v>-225000</v>
      </c>
    </row>
    <row r="166" spans="1:18" x14ac:dyDescent="0.2">
      <c r="B166" s="1" t="s">
        <v>48</v>
      </c>
      <c r="K166" s="24">
        <v>430000</v>
      </c>
      <c r="L166" s="24">
        <v>430000</v>
      </c>
      <c r="M166" s="24">
        <v>430000</v>
      </c>
      <c r="N166" s="24">
        <v>430000</v>
      </c>
      <c r="O166" s="24">
        <v>430000</v>
      </c>
      <c r="P166" s="24">
        <v>430000</v>
      </c>
      <c r="Q166" s="24">
        <v>430000</v>
      </c>
      <c r="R166" s="24">
        <v>430000</v>
      </c>
    </row>
    <row r="167" spans="1:18" x14ac:dyDescent="0.2">
      <c r="B167" s="1" t="s">
        <v>49</v>
      </c>
      <c r="C167" s="1">
        <f>SUM(C165:C166)</f>
        <v>0</v>
      </c>
      <c r="D167" s="1">
        <f t="shared" ref="D167:R167" si="7">SUM(D165:D166)</f>
        <v>-225000</v>
      </c>
      <c r="E167" s="1">
        <f t="shared" si="7"/>
        <v>-225000</v>
      </c>
      <c r="F167" s="1">
        <f t="shared" si="7"/>
        <v>-225000</v>
      </c>
      <c r="G167" s="1">
        <f t="shared" si="7"/>
        <v>-225000</v>
      </c>
      <c r="H167" s="1">
        <f t="shared" si="7"/>
        <v>-225000</v>
      </c>
      <c r="I167" s="1">
        <f t="shared" si="7"/>
        <v>-225000</v>
      </c>
      <c r="J167" s="1">
        <f t="shared" si="7"/>
        <v>-225000</v>
      </c>
      <c r="K167" s="1">
        <f t="shared" si="7"/>
        <v>430000</v>
      </c>
      <c r="L167" s="1">
        <f t="shared" si="7"/>
        <v>430000</v>
      </c>
      <c r="M167" s="1">
        <f t="shared" si="7"/>
        <v>430000</v>
      </c>
      <c r="N167" s="1">
        <f t="shared" si="7"/>
        <v>430000</v>
      </c>
      <c r="O167" s="1">
        <f t="shared" si="7"/>
        <v>430000</v>
      </c>
      <c r="P167" s="1">
        <f t="shared" si="7"/>
        <v>430000</v>
      </c>
      <c r="Q167" s="1">
        <f t="shared" si="7"/>
        <v>430000</v>
      </c>
      <c r="R167" s="1">
        <f t="shared" si="7"/>
        <v>430000</v>
      </c>
    </row>
    <row r="169" spans="1:18" x14ac:dyDescent="0.2">
      <c r="A169" s="12" t="s">
        <v>4</v>
      </c>
      <c r="B169" s="2" t="s">
        <v>51</v>
      </c>
    </row>
    <row r="170" spans="1:18" x14ac:dyDescent="0.2">
      <c r="B170" s="1" t="s">
        <v>21</v>
      </c>
      <c r="C170" s="15">
        <v>0.09</v>
      </c>
    </row>
    <row r="171" spans="1:18" x14ac:dyDescent="0.2">
      <c r="B171" s="1" t="s">
        <v>28</v>
      </c>
      <c r="C171" s="1">
        <f t="shared" ref="C171:R171" si="8">1/(1+$C$170)^C164</f>
        <v>1</v>
      </c>
      <c r="D171" s="1">
        <f t="shared" si="8"/>
        <v>0.9174311926605504</v>
      </c>
      <c r="E171" s="1">
        <f t="shared" si="8"/>
        <v>0.84167999326655996</v>
      </c>
      <c r="F171" s="1">
        <f t="shared" si="8"/>
        <v>0.77218348006106419</v>
      </c>
      <c r="G171" s="1">
        <f t="shared" si="8"/>
        <v>0.7084252110651964</v>
      </c>
      <c r="H171" s="1">
        <f t="shared" si="8"/>
        <v>0.64993138629834524</v>
      </c>
      <c r="I171" s="1">
        <f t="shared" si="8"/>
        <v>0.5962673268792158</v>
      </c>
      <c r="J171" s="1">
        <f t="shared" si="8"/>
        <v>0.54703424484331731</v>
      </c>
      <c r="K171" s="1">
        <f t="shared" si="8"/>
        <v>0.50186627967276809</v>
      </c>
      <c r="L171" s="1">
        <f t="shared" si="8"/>
        <v>0.46042777951630098</v>
      </c>
      <c r="M171" s="1">
        <f t="shared" si="8"/>
        <v>0.42241080689568894</v>
      </c>
      <c r="N171" s="1">
        <f t="shared" si="8"/>
        <v>0.38753285036301738</v>
      </c>
      <c r="O171" s="1">
        <f t="shared" si="8"/>
        <v>0.35553472510368567</v>
      </c>
      <c r="P171" s="1">
        <f t="shared" si="8"/>
        <v>0.32617864688411524</v>
      </c>
      <c r="Q171" s="1">
        <f t="shared" si="8"/>
        <v>0.29924646503129837</v>
      </c>
      <c r="R171" s="1">
        <f t="shared" si="8"/>
        <v>0.27453804131311776</v>
      </c>
    </row>
    <row r="172" spans="1:18" x14ac:dyDescent="0.2">
      <c r="B172" s="1" t="s">
        <v>50</v>
      </c>
      <c r="C172" s="1">
        <f t="shared" ref="C172:R172" si="9">C167*C171</f>
        <v>0</v>
      </c>
      <c r="D172" s="1">
        <f t="shared" si="9"/>
        <v>-206422.01834862385</v>
      </c>
      <c r="E172" s="1">
        <f t="shared" si="9"/>
        <v>-189377.99848497598</v>
      </c>
      <c r="F172" s="1">
        <f t="shared" si="9"/>
        <v>-173741.28301373945</v>
      </c>
      <c r="G172" s="1">
        <f t="shared" si="9"/>
        <v>-159395.6724896692</v>
      </c>
      <c r="H172" s="1">
        <f t="shared" si="9"/>
        <v>-146234.56191712769</v>
      </c>
      <c r="I172" s="1">
        <f t="shared" si="9"/>
        <v>-134160.14854782354</v>
      </c>
      <c r="J172" s="1">
        <f t="shared" si="9"/>
        <v>-123082.70508974639</v>
      </c>
      <c r="K172" s="1">
        <f t="shared" si="9"/>
        <v>215802.50025929027</v>
      </c>
      <c r="L172" s="1">
        <f t="shared" si="9"/>
        <v>197983.94519200941</v>
      </c>
      <c r="M172" s="1">
        <f t="shared" si="9"/>
        <v>181636.64696514624</v>
      </c>
      <c r="N172" s="1">
        <f t="shared" si="9"/>
        <v>166639.12565609749</v>
      </c>
      <c r="O172" s="1">
        <f t="shared" si="9"/>
        <v>152879.93179458485</v>
      </c>
      <c r="P172" s="1">
        <f t="shared" si="9"/>
        <v>140256.81816016955</v>
      </c>
      <c r="Q172" s="1">
        <f t="shared" si="9"/>
        <v>128675.9799634583</v>
      </c>
      <c r="R172" s="1">
        <f t="shared" si="9"/>
        <v>118051.35776464063</v>
      </c>
    </row>
    <row r="174" spans="1:18" x14ac:dyDescent="0.2">
      <c r="B174" s="1" t="s">
        <v>22</v>
      </c>
      <c r="C174" s="19">
        <f>SUM(C172:R172)</f>
        <v>169511.9178636907</v>
      </c>
    </row>
    <row r="175" spans="1:18" x14ac:dyDescent="0.2">
      <c r="C175" s="19"/>
    </row>
    <row r="176" spans="1:18" x14ac:dyDescent="0.2">
      <c r="B176" s="2" t="s">
        <v>52</v>
      </c>
    </row>
    <row r="177" spans="1:11" ht="39" customHeight="1" x14ac:dyDescent="0.2">
      <c r="B177" s="168" t="s">
        <v>55</v>
      </c>
      <c r="C177" s="169"/>
      <c r="D177" s="169"/>
      <c r="E177" s="169"/>
      <c r="F177" s="169"/>
      <c r="G177" s="169"/>
      <c r="H177" s="169"/>
      <c r="I177" s="169"/>
      <c r="J177" s="169"/>
      <c r="K177" s="169"/>
    </row>
    <row r="179" spans="1:11" x14ac:dyDescent="0.2">
      <c r="B179" s="1" t="s">
        <v>53</v>
      </c>
      <c r="F179" s="1">
        <f xml:space="preserve"> -225000/0.09 * (1-1/(1+0.09)^7)</f>
        <v>-1132414.3878917068</v>
      </c>
    </row>
    <row r="180" spans="1:11" x14ac:dyDescent="0.2">
      <c r="B180" s="1" t="s">
        <v>54</v>
      </c>
      <c r="F180" s="1">
        <f xml:space="preserve"> (430000/0.09 * (1-1/(1+0.09)^8) )/(1+0.09)^7</f>
        <v>1301926.3057553978</v>
      </c>
    </row>
    <row r="182" spans="1:11" x14ac:dyDescent="0.2">
      <c r="B182" s="1" t="s">
        <v>22</v>
      </c>
      <c r="F182" s="1">
        <f>SUM(F179:F180)</f>
        <v>169511.91786369099</v>
      </c>
    </row>
    <row r="184" spans="1:11" x14ac:dyDescent="0.2">
      <c r="B184" s="1" t="s">
        <v>56</v>
      </c>
    </row>
    <row r="186" spans="1:11" x14ac:dyDescent="0.2">
      <c r="A186" s="12" t="s">
        <v>5</v>
      </c>
      <c r="B186" s="1" t="s">
        <v>57</v>
      </c>
    </row>
    <row r="187" spans="1:11" x14ac:dyDescent="0.2">
      <c r="B187" s="1" t="s">
        <v>60</v>
      </c>
    </row>
    <row r="189" spans="1:11" x14ac:dyDescent="0.2">
      <c r="B189" s="1" t="s">
        <v>58</v>
      </c>
      <c r="F189" s="25">
        <f xml:space="preserve"> -225000/F190 * (1-1/(1+F190)^7) +  (430000/F190 * (1-1/(1+F190)^8) )/(1+F190)^7</f>
        <v>4.0978193283081055E-8</v>
      </c>
    </row>
    <row r="190" spans="1:11" x14ac:dyDescent="0.2">
      <c r="B190" s="1" t="s">
        <v>59</v>
      </c>
      <c r="F190" s="1">
        <v>0.11079142801102418</v>
      </c>
    </row>
    <row r="192" spans="1:11" x14ac:dyDescent="0.2">
      <c r="B192" s="1" t="s">
        <v>62</v>
      </c>
    </row>
    <row r="194" spans="1:8" x14ac:dyDescent="0.2">
      <c r="B194" s="1" t="s">
        <v>61</v>
      </c>
    </row>
    <row r="196" spans="1:8" x14ac:dyDescent="0.2">
      <c r="A196" s="12" t="s">
        <v>6</v>
      </c>
      <c r="B196" s="1" t="s">
        <v>63</v>
      </c>
    </row>
    <row r="198" spans="1:8" x14ac:dyDescent="0.2">
      <c r="B198" s="1" t="s">
        <v>64</v>
      </c>
    </row>
    <row r="200" spans="1:8" x14ac:dyDescent="0.2">
      <c r="B200" s="1" t="s">
        <v>22</v>
      </c>
      <c r="F200" s="19">
        <f xml:space="preserve"> -225000/F201 * (1-1/(1+F201)^7) +  (430000/F201 * (1-1/(1+F201)^8) )/(1+F201)^7</f>
        <v>-60588.802482837229</v>
      </c>
    </row>
    <row r="201" spans="1:8" x14ac:dyDescent="0.2">
      <c r="B201" s="1" t="s">
        <v>65</v>
      </c>
      <c r="F201" s="1">
        <v>0.12</v>
      </c>
    </row>
    <row r="205" spans="1:8" x14ac:dyDescent="0.2">
      <c r="A205" s="11">
        <v>10</v>
      </c>
      <c r="B205" s="5"/>
      <c r="C205" s="5"/>
      <c r="D205" s="5"/>
      <c r="E205" s="5"/>
      <c r="F205" s="5"/>
      <c r="G205" s="5"/>
      <c r="H205" s="5"/>
    </row>
    <row r="207" spans="1:8" x14ac:dyDescent="0.2">
      <c r="B207" s="26" t="s">
        <v>26</v>
      </c>
      <c r="C207" s="26">
        <v>0</v>
      </c>
      <c r="D207" s="26">
        <v>1</v>
      </c>
      <c r="E207" s="26">
        <v>2</v>
      </c>
      <c r="F207" s="26">
        <v>3</v>
      </c>
      <c r="G207" s="26">
        <v>4</v>
      </c>
      <c r="H207" s="26">
        <v>5</v>
      </c>
    </row>
    <row r="208" spans="1:8" x14ac:dyDescent="0.2">
      <c r="B208" s="26" t="s">
        <v>66</v>
      </c>
      <c r="C208" s="26">
        <v>-5</v>
      </c>
      <c r="D208" s="26"/>
      <c r="E208" s="26"/>
      <c r="F208" s="26"/>
      <c r="G208" s="26"/>
      <c r="H208" s="26"/>
    </row>
    <row r="209" spans="1:8" x14ac:dyDescent="0.2">
      <c r="B209" s="26" t="s">
        <v>48</v>
      </c>
      <c r="C209" s="26"/>
      <c r="D209" s="26">
        <v>2.5</v>
      </c>
      <c r="E209" s="26">
        <v>1</v>
      </c>
      <c r="F209" s="26">
        <v>1</v>
      </c>
      <c r="G209" s="26">
        <v>1</v>
      </c>
      <c r="H209" s="26">
        <v>1</v>
      </c>
    </row>
    <row r="210" spans="1:8" x14ac:dyDescent="0.2">
      <c r="B210" s="26" t="s">
        <v>49</v>
      </c>
      <c r="C210" s="26">
        <f>SUM(C208:C209)</f>
        <v>-5</v>
      </c>
      <c r="D210" s="26">
        <f t="shared" ref="D210:H210" si="10">SUM(D208:D209)</f>
        <v>2.5</v>
      </c>
      <c r="E210" s="26">
        <f t="shared" si="10"/>
        <v>1</v>
      </c>
      <c r="F210" s="26">
        <f t="shared" si="10"/>
        <v>1</v>
      </c>
      <c r="G210" s="26">
        <f t="shared" si="10"/>
        <v>1</v>
      </c>
      <c r="H210" s="26">
        <f t="shared" si="10"/>
        <v>1</v>
      </c>
    </row>
    <row r="212" spans="1:8" x14ac:dyDescent="0.2">
      <c r="A212" s="12" t="s">
        <v>4</v>
      </c>
      <c r="B212" s="1" t="s">
        <v>67</v>
      </c>
    </row>
    <row r="213" spans="1:8" x14ac:dyDescent="0.2">
      <c r="B213" s="1" t="s">
        <v>106</v>
      </c>
    </row>
    <row r="214" spans="1:8" x14ac:dyDescent="0.2">
      <c r="C214" s="1">
        <f>C208</f>
        <v>-5</v>
      </c>
      <c r="D214" s="1">
        <f>D209+C214</f>
        <v>-2.5</v>
      </c>
      <c r="E214" s="1">
        <f t="shared" ref="E214:H214" si="11">E209+D214</f>
        <v>-1.5</v>
      </c>
      <c r="F214" s="1">
        <f t="shared" si="11"/>
        <v>-0.5</v>
      </c>
      <c r="G214" s="1">
        <f t="shared" si="11"/>
        <v>0.5</v>
      </c>
      <c r="H214" s="1">
        <f t="shared" si="11"/>
        <v>1.5</v>
      </c>
    </row>
    <row r="216" spans="1:8" x14ac:dyDescent="0.2">
      <c r="B216" s="1" t="s">
        <v>68</v>
      </c>
    </row>
    <row r="218" spans="1:8" x14ac:dyDescent="0.2">
      <c r="A218" s="12" t="s">
        <v>5</v>
      </c>
      <c r="B218" s="1" t="s">
        <v>21</v>
      </c>
      <c r="C218" s="1">
        <v>0.1</v>
      </c>
    </row>
    <row r="219" spans="1:8" x14ac:dyDescent="0.2">
      <c r="B219" s="1" t="s">
        <v>28</v>
      </c>
      <c r="C219" s="1">
        <f>1/(1+$C$218)^C207</f>
        <v>1</v>
      </c>
      <c r="D219" s="1">
        <f t="shared" ref="D219:H219" si="12">1/(1+$C$218)^D207</f>
        <v>0.90909090909090906</v>
      </c>
      <c r="E219" s="1">
        <f t="shared" si="12"/>
        <v>0.82644628099173545</v>
      </c>
      <c r="F219" s="1">
        <f t="shared" si="12"/>
        <v>0.75131480090157754</v>
      </c>
      <c r="G219" s="1">
        <f t="shared" si="12"/>
        <v>0.68301345536507052</v>
      </c>
      <c r="H219" s="1">
        <f t="shared" si="12"/>
        <v>0.62092132305915493</v>
      </c>
    </row>
    <row r="220" spans="1:8" x14ac:dyDescent="0.2">
      <c r="B220" s="1" t="s">
        <v>30</v>
      </c>
      <c r="C220" s="1">
        <f>C210*C219</f>
        <v>-5</v>
      </c>
      <c r="D220" s="1">
        <f t="shared" ref="D220:H220" si="13">D210*D219</f>
        <v>2.2727272727272725</v>
      </c>
      <c r="E220" s="1">
        <f t="shared" si="13"/>
        <v>0.82644628099173545</v>
      </c>
      <c r="F220" s="1">
        <f t="shared" si="13"/>
        <v>0.75131480090157754</v>
      </c>
      <c r="G220" s="1">
        <f t="shared" si="13"/>
        <v>0.68301345536507052</v>
      </c>
      <c r="H220" s="1">
        <f t="shared" si="13"/>
        <v>0.62092132305915493</v>
      </c>
    </row>
    <row r="222" spans="1:8" x14ac:dyDescent="0.2">
      <c r="B222" s="1" t="s">
        <v>22</v>
      </c>
      <c r="C222" s="1">
        <f>SUM(C220:H220)</f>
        <v>0.15442313304481092</v>
      </c>
    </row>
    <row r="224" spans="1:8" x14ac:dyDescent="0.2">
      <c r="B224" s="168" t="s">
        <v>69</v>
      </c>
      <c r="C224" s="169"/>
      <c r="D224" s="169"/>
      <c r="E224" s="169"/>
      <c r="F224" s="169"/>
      <c r="G224" s="169"/>
      <c r="H224" s="169"/>
    </row>
    <row r="225" spans="1:8" x14ac:dyDescent="0.2">
      <c r="B225" s="168"/>
      <c r="C225" s="169"/>
      <c r="D225" s="169"/>
      <c r="E225" s="169"/>
      <c r="F225" s="169"/>
      <c r="G225" s="169"/>
      <c r="H225" s="169"/>
    </row>
    <row r="228" spans="1:8" x14ac:dyDescent="0.2">
      <c r="A228" s="11">
        <v>11</v>
      </c>
      <c r="B228" s="5"/>
      <c r="C228" s="5"/>
      <c r="D228" s="5"/>
      <c r="E228" s="5"/>
      <c r="F228" s="5"/>
      <c r="G228" s="5"/>
      <c r="H228" s="5"/>
    </row>
    <row r="230" spans="1:8" x14ac:dyDescent="0.2">
      <c r="B230" s="1" t="s">
        <v>70</v>
      </c>
      <c r="C230" s="1">
        <v>0</v>
      </c>
      <c r="D230" s="1">
        <v>1</v>
      </c>
      <c r="E230" s="1">
        <v>2</v>
      </c>
      <c r="F230" s="1">
        <v>3</v>
      </c>
    </row>
    <row r="231" spans="1:8" x14ac:dyDescent="0.2">
      <c r="B231" s="1" t="s">
        <v>71</v>
      </c>
      <c r="D231" s="1">
        <v>100000</v>
      </c>
      <c r="E231" s="1">
        <v>100000</v>
      </c>
      <c r="F231" s="1">
        <v>100000</v>
      </c>
    </row>
    <row r="232" spans="1:8" x14ac:dyDescent="0.2">
      <c r="B232" s="27" t="s">
        <v>72</v>
      </c>
      <c r="D232" s="1">
        <f>-+D231*0.5</f>
        <v>-50000</v>
      </c>
      <c r="E232" s="1">
        <f t="shared" ref="E232:F232" si="14">-+E231*0.5</f>
        <v>-50000</v>
      </c>
      <c r="F232" s="1">
        <f t="shared" si="14"/>
        <v>-50000</v>
      </c>
    </row>
    <row r="233" spans="1:8" x14ac:dyDescent="0.2">
      <c r="B233" s="27" t="s">
        <v>73</v>
      </c>
      <c r="D233" s="1">
        <v>-30000</v>
      </c>
      <c r="E233" s="1">
        <v>-30000</v>
      </c>
      <c r="F233" s="1">
        <v>-30000</v>
      </c>
    </row>
    <row r="234" spans="1:8" x14ac:dyDescent="0.2">
      <c r="B234" s="27" t="s">
        <v>74</v>
      </c>
      <c r="D234" s="1">
        <f>+D231+D232+D233</f>
        <v>20000</v>
      </c>
      <c r="E234" s="1">
        <f t="shared" ref="E234:F234" si="15">+E231+E232+E233</f>
        <v>20000</v>
      </c>
      <c r="F234" s="1">
        <f t="shared" si="15"/>
        <v>20000</v>
      </c>
    </row>
    <row r="235" spans="1:8" x14ac:dyDescent="0.2">
      <c r="B235" s="27" t="s">
        <v>75</v>
      </c>
      <c r="D235" s="1">
        <f>+D234*0.35</f>
        <v>7000</v>
      </c>
      <c r="E235" s="1">
        <f t="shared" ref="E235:F235" si="16">+E234*0.35</f>
        <v>7000</v>
      </c>
      <c r="F235" s="1">
        <f t="shared" si="16"/>
        <v>7000</v>
      </c>
    </row>
    <row r="236" spans="1:8" x14ac:dyDescent="0.2">
      <c r="B236" s="27" t="s">
        <v>76</v>
      </c>
      <c r="D236" s="1">
        <f>+D234-D235</f>
        <v>13000</v>
      </c>
      <c r="E236" s="1">
        <f t="shared" ref="E236:F236" si="17">+E234-E235</f>
        <v>13000</v>
      </c>
      <c r="F236" s="1">
        <f t="shared" si="17"/>
        <v>13000</v>
      </c>
    </row>
    <row r="238" spans="1:8" x14ac:dyDescent="0.2">
      <c r="B238" s="1" t="s">
        <v>77</v>
      </c>
    </row>
    <row r="239" spans="1:8" x14ac:dyDescent="0.2">
      <c r="B239" s="27" t="s">
        <v>78</v>
      </c>
      <c r="D239" s="1">
        <v>30000</v>
      </c>
      <c r="E239" s="1">
        <v>30000</v>
      </c>
      <c r="F239" s="1">
        <v>30000</v>
      </c>
    </row>
    <row r="240" spans="1:8" x14ac:dyDescent="0.2">
      <c r="B240" s="27" t="s">
        <v>798</v>
      </c>
      <c r="D240" s="90">
        <f>D254</f>
        <v>5000</v>
      </c>
      <c r="E240" s="90">
        <f t="shared" ref="E240:F240" si="18">E254</f>
        <v>5000</v>
      </c>
      <c r="F240" s="90">
        <f t="shared" si="18"/>
        <v>-10000</v>
      </c>
    </row>
    <row r="241" spans="2:6" x14ac:dyDescent="0.2">
      <c r="B241" s="27" t="s">
        <v>79</v>
      </c>
      <c r="C241" s="1">
        <v>-90000</v>
      </c>
    </row>
    <row r="243" spans="2:6" x14ac:dyDescent="0.2">
      <c r="B243" s="27" t="s">
        <v>80</v>
      </c>
      <c r="C243" s="1">
        <f>+C236+C239+C240+C241</f>
        <v>-90000</v>
      </c>
      <c r="D243" s="1">
        <f>+D236+D239-D240+D241</f>
        <v>38000</v>
      </c>
      <c r="E243" s="1">
        <f t="shared" ref="E243:F243" si="19">+E236+E239-E240+E241</f>
        <v>38000</v>
      </c>
      <c r="F243" s="1">
        <f t="shared" si="19"/>
        <v>53000</v>
      </c>
    </row>
    <row r="245" spans="2:6" x14ac:dyDescent="0.2">
      <c r="B245" s="1" t="s">
        <v>65</v>
      </c>
      <c r="C245" s="1">
        <v>0.12</v>
      </c>
    </row>
    <row r="246" spans="2:6" x14ac:dyDescent="0.2">
      <c r="B246" s="1" t="s">
        <v>28</v>
      </c>
      <c r="C246" s="1">
        <f>1/(1+$C$245)^C230</f>
        <v>1</v>
      </c>
      <c r="D246" s="1">
        <f t="shared" ref="D246:F246" si="20">1/(1+$C$245)^D230</f>
        <v>0.89285714285714279</v>
      </c>
      <c r="E246" s="1">
        <f t="shared" si="20"/>
        <v>0.79719387755102034</v>
      </c>
      <c r="F246" s="1">
        <f t="shared" si="20"/>
        <v>0.71178024781341087</v>
      </c>
    </row>
    <row r="247" spans="2:6" x14ac:dyDescent="0.2">
      <c r="B247" s="1" t="s">
        <v>81</v>
      </c>
      <c r="C247" s="1">
        <f>C243*C246</f>
        <v>-90000</v>
      </c>
      <c r="D247" s="1">
        <f t="shared" ref="D247:F247" si="21">D243*D246</f>
        <v>33928.571428571428</v>
      </c>
      <c r="E247" s="1">
        <f t="shared" si="21"/>
        <v>30293.367346938772</v>
      </c>
      <c r="F247" s="1">
        <f t="shared" si="21"/>
        <v>37724.353134110774</v>
      </c>
    </row>
    <row r="249" spans="2:6" x14ac:dyDescent="0.2">
      <c r="B249" s="1" t="s">
        <v>22</v>
      </c>
      <c r="C249" s="19">
        <f>SUM(C247:F247)</f>
        <v>11946.291909620973</v>
      </c>
    </row>
    <row r="250" spans="2:6" x14ac:dyDescent="0.2">
      <c r="C250" s="19"/>
    </row>
    <row r="251" spans="2:6" x14ac:dyDescent="0.2">
      <c r="C251" s="19"/>
    </row>
    <row r="252" spans="2:6" ht="119" x14ac:dyDescent="0.2">
      <c r="B252" s="165" t="s">
        <v>799</v>
      </c>
      <c r="C252" s="166"/>
      <c r="D252" s="165" t="s">
        <v>795</v>
      </c>
      <c r="E252" s="165" t="s">
        <v>796</v>
      </c>
      <c r="F252" s="167" t="s">
        <v>800</v>
      </c>
    </row>
    <row r="253" spans="2:6" x14ac:dyDescent="0.2">
      <c r="B253" s="1" t="s">
        <v>797</v>
      </c>
      <c r="C253" s="19">
        <v>0</v>
      </c>
      <c r="D253" s="1">
        <f>0.05*D231</f>
        <v>5000</v>
      </c>
      <c r="E253" s="1">
        <f>0.1*E231</f>
        <v>10000</v>
      </c>
      <c r="F253" s="1">
        <v>0</v>
      </c>
    </row>
    <row r="254" spans="2:6" x14ac:dyDescent="0.2">
      <c r="B254" s="1" t="s">
        <v>794</v>
      </c>
      <c r="C254" s="19">
        <v>0</v>
      </c>
      <c r="D254" s="19">
        <f>D253-C253</f>
        <v>5000</v>
      </c>
      <c r="E254" s="19">
        <f>E253-D253</f>
        <v>5000</v>
      </c>
      <c r="F254" s="19">
        <f>F253-E253</f>
        <v>-10000</v>
      </c>
    </row>
    <row r="255" spans="2:6" x14ac:dyDescent="0.2">
      <c r="C255" s="19"/>
    </row>
    <row r="256" spans="2:6" x14ac:dyDescent="0.2">
      <c r="C256" s="19"/>
    </row>
    <row r="258" spans="1:15" x14ac:dyDescent="0.2">
      <c r="A258" s="11">
        <v>12</v>
      </c>
      <c r="B258" s="5"/>
      <c r="C258" s="5"/>
      <c r="D258" s="5"/>
      <c r="E258" s="5"/>
      <c r="F258" s="5"/>
      <c r="G258" s="5"/>
      <c r="H258" s="5"/>
    </row>
    <row r="260" spans="1:15" x14ac:dyDescent="0.2">
      <c r="A260" s="12" t="s">
        <v>5</v>
      </c>
      <c r="B260" s="2" t="s">
        <v>82</v>
      </c>
      <c r="C260" s="172" t="s">
        <v>83</v>
      </c>
      <c r="D260" s="172"/>
      <c r="E260" s="172"/>
      <c r="F260" s="172"/>
      <c r="G260" s="172"/>
      <c r="H260" s="172"/>
      <c r="I260" s="172"/>
      <c r="J260" s="172"/>
      <c r="K260" s="172"/>
      <c r="L260" s="172"/>
    </row>
    <row r="261" spans="1:15" x14ac:dyDescent="0.2">
      <c r="B261" s="3" t="s">
        <v>84</v>
      </c>
      <c r="C261" s="1">
        <v>1</v>
      </c>
      <c r="D261" s="1">
        <v>2</v>
      </c>
      <c r="E261" s="1">
        <v>3</v>
      </c>
      <c r="F261" s="1">
        <v>4</v>
      </c>
      <c r="G261" s="1">
        <v>5</v>
      </c>
      <c r="H261" s="1">
        <v>6</v>
      </c>
      <c r="I261" s="1">
        <v>7</v>
      </c>
      <c r="J261" s="1">
        <v>8</v>
      </c>
      <c r="K261" s="1">
        <v>9</v>
      </c>
      <c r="L261" s="1">
        <v>10</v>
      </c>
      <c r="N261" s="1" t="s">
        <v>97</v>
      </c>
      <c r="O261" s="1">
        <v>0.35</v>
      </c>
    </row>
    <row r="262" spans="1:15" x14ac:dyDescent="0.2">
      <c r="B262" s="1" t="s">
        <v>85</v>
      </c>
      <c r="C262" s="1">
        <v>26</v>
      </c>
      <c r="D262" s="1">
        <v>26</v>
      </c>
      <c r="E262" s="1">
        <v>26</v>
      </c>
      <c r="F262" s="1">
        <v>26</v>
      </c>
      <c r="G262" s="1">
        <v>26</v>
      </c>
      <c r="H262" s="1">
        <v>26</v>
      </c>
      <c r="I262" s="1">
        <v>26</v>
      </c>
      <c r="J262" s="1">
        <v>26</v>
      </c>
      <c r="K262" s="1">
        <v>26</v>
      </c>
      <c r="L262" s="1">
        <v>26</v>
      </c>
    </row>
    <row r="263" spans="1:15" x14ac:dyDescent="0.2">
      <c r="B263" s="28" t="s">
        <v>86</v>
      </c>
      <c r="C263" s="5">
        <v>15.6</v>
      </c>
      <c r="D263" s="5">
        <v>15.6</v>
      </c>
      <c r="E263" s="5">
        <v>15.6</v>
      </c>
      <c r="F263" s="5">
        <v>15.6</v>
      </c>
      <c r="G263" s="5">
        <v>15.6</v>
      </c>
      <c r="H263" s="5">
        <v>15.6</v>
      </c>
      <c r="I263" s="5">
        <v>15.6</v>
      </c>
      <c r="J263" s="5">
        <v>15.6</v>
      </c>
      <c r="K263" s="5">
        <v>15.6</v>
      </c>
      <c r="L263" s="5">
        <v>15.6</v>
      </c>
    </row>
    <row r="264" spans="1:15" x14ac:dyDescent="0.2">
      <c r="B264" s="27" t="s">
        <v>87</v>
      </c>
      <c r="C264" s="1">
        <f>+C262-C263</f>
        <v>10.4</v>
      </c>
      <c r="D264" s="1">
        <f t="shared" ref="D264:L264" si="22">+D262-D263</f>
        <v>10.4</v>
      </c>
      <c r="E264" s="1">
        <f t="shared" si="22"/>
        <v>10.4</v>
      </c>
      <c r="F264" s="1">
        <f t="shared" si="22"/>
        <v>10.4</v>
      </c>
      <c r="G264" s="1">
        <f t="shared" si="22"/>
        <v>10.4</v>
      </c>
      <c r="H264" s="1">
        <f t="shared" si="22"/>
        <v>10.4</v>
      </c>
      <c r="I264" s="1">
        <f t="shared" si="22"/>
        <v>10.4</v>
      </c>
      <c r="J264" s="1">
        <f t="shared" si="22"/>
        <v>10.4</v>
      </c>
      <c r="K264" s="1">
        <f t="shared" si="22"/>
        <v>10.4</v>
      </c>
      <c r="L264" s="1">
        <f t="shared" si="22"/>
        <v>10.4</v>
      </c>
    </row>
    <row r="265" spans="1:15" x14ac:dyDescent="0.2">
      <c r="B265" s="27" t="s">
        <v>88</v>
      </c>
      <c r="C265" s="1">
        <v>2.88</v>
      </c>
      <c r="D265" s="1">
        <v>2.88</v>
      </c>
      <c r="E265" s="1">
        <v>2.88</v>
      </c>
      <c r="F265" s="1">
        <v>2.88</v>
      </c>
      <c r="G265" s="1">
        <v>2.88</v>
      </c>
      <c r="H265" s="1">
        <v>2.88</v>
      </c>
      <c r="I265" s="1">
        <v>2.88</v>
      </c>
      <c r="J265" s="1">
        <v>2.88</v>
      </c>
      <c r="K265" s="1">
        <v>2.88</v>
      </c>
      <c r="L265" s="1">
        <v>2.88</v>
      </c>
    </row>
    <row r="266" spans="1:15" x14ac:dyDescent="0.2">
      <c r="B266" s="28" t="s">
        <v>73</v>
      </c>
      <c r="C266" s="5">
        <v>2.8</v>
      </c>
      <c r="D266" s="5">
        <v>2.8</v>
      </c>
      <c r="E266" s="5">
        <v>2.8</v>
      </c>
      <c r="F266" s="5">
        <v>2.8</v>
      </c>
      <c r="G266" s="5">
        <v>2.8</v>
      </c>
      <c r="H266" s="5">
        <v>2.8</v>
      </c>
      <c r="I266" s="5">
        <v>2.8</v>
      </c>
      <c r="J266" s="5">
        <v>2.8</v>
      </c>
      <c r="K266" s="5">
        <v>2.8</v>
      </c>
      <c r="L266" s="5">
        <v>2.8</v>
      </c>
    </row>
    <row r="267" spans="1:15" x14ac:dyDescent="0.2">
      <c r="B267" s="27" t="s">
        <v>74</v>
      </c>
      <c r="C267" s="1">
        <f t="shared" ref="C267:L267" si="23">+C264-C265-C266</f>
        <v>4.7200000000000006</v>
      </c>
      <c r="D267" s="1">
        <f t="shared" si="23"/>
        <v>4.7200000000000006</v>
      </c>
      <c r="E267" s="1">
        <f t="shared" si="23"/>
        <v>4.7200000000000006</v>
      </c>
      <c r="F267" s="1">
        <f t="shared" si="23"/>
        <v>4.7200000000000006</v>
      </c>
      <c r="G267" s="1">
        <f t="shared" si="23"/>
        <v>4.7200000000000006</v>
      </c>
      <c r="H267" s="1">
        <f t="shared" si="23"/>
        <v>4.7200000000000006</v>
      </c>
      <c r="I267" s="1">
        <f t="shared" si="23"/>
        <v>4.7200000000000006</v>
      </c>
      <c r="J267" s="1">
        <f t="shared" si="23"/>
        <v>4.7200000000000006</v>
      </c>
      <c r="K267" s="1">
        <f t="shared" si="23"/>
        <v>4.7200000000000006</v>
      </c>
      <c r="L267" s="1">
        <f t="shared" si="23"/>
        <v>4.7200000000000006</v>
      </c>
    </row>
    <row r="268" spans="1:15" x14ac:dyDescent="0.2">
      <c r="B268" s="28" t="s">
        <v>89</v>
      </c>
      <c r="C268" s="5">
        <f>+C267*$O$261</f>
        <v>1.6520000000000001</v>
      </c>
      <c r="D268" s="5">
        <f t="shared" ref="D268:L268" si="24">+D267*$O$261</f>
        <v>1.6520000000000001</v>
      </c>
      <c r="E268" s="5">
        <f t="shared" si="24"/>
        <v>1.6520000000000001</v>
      </c>
      <c r="F268" s="5">
        <f t="shared" si="24"/>
        <v>1.6520000000000001</v>
      </c>
      <c r="G268" s="5">
        <f t="shared" si="24"/>
        <v>1.6520000000000001</v>
      </c>
      <c r="H268" s="5">
        <f t="shared" si="24"/>
        <v>1.6520000000000001</v>
      </c>
      <c r="I268" s="5">
        <f t="shared" si="24"/>
        <v>1.6520000000000001</v>
      </c>
      <c r="J268" s="5">
        <f t="shared" si="24"/>
        <v>1.6520000000000001</v>
      </c>
      <c r="K268" s="5">
        <f t="shared" si="24"/>
        <v>1.6520000000000001</v>
      </c>
      <c r="L268" s="5">
        <f t="shared" si="24"/>
        <v>1.6520000000000001</v>
      </c>
    </row>
    <row r="269" spans="1:15" x14ac:dyDescent="0.2">
      <c r="B269" s="27" t="s">
        <v>90</v>
      </c>
      <c r="C269" s="1">
        <f>+C267-C268</f>
        <v>3.0680000000000005</v>
      </c>
      <c r="D269" s="1">
        <f t="shared" ref="D269:L269" si="25">+D267-D268</f>
        <v>3.0680000000000005</v>
      </c>
      <c r="E269" s="1">
        <f t="shared" si="25"/>
        <v>3.0680000000000005</v>
      </c>
      <c r="F269" s="1">
        <f t="shared" si="25"/>
        <v>3.0680000000000005</v>
      </c>
      <c r="G269" s="1">
        <f t="shared" si="25"/>
        <v>3.0680000000000005</v>
      </c>
      <c r="H269" s="1">
        <f t="shared" si="25"/>
        <v>3.0680000000000005</v>
      </c>
      <c r="I269" s="1">
        <f t="shared" si="25"/>
        <v>3.0680000000000005</v>
      </c>
      <c r="J269" s="1">
        <f t="shared" si="25"/>
        <v>3.0680000000000005</v>
      </c>
      <c r="K269" s="1">
        <f t="shared" si="25"/>
        <v>3.0680000000000005</v>
      </c>
      <c r="L269" s="1">
        <f t="shared" si="25"/>
        <v>3.0680000000000005</v>
      </c>
    </row>
    <row r="272" spans="1:15" x14ac:dyDescent="0.2">
      <c r="B272" s="2" t="s">
        <v>91</v>
      </c>
    </row>
    <row r="273" spans="1:13" x14ac:dyDescent="0.2">
      <c r="C273" s="172" t="s">
        <v>83</v>
      </c>
      <c r="D273" s="172"/>
      <c r="E273" s="172"/>
      <c r="F273" s="172"/>
      <c r="G273" s="172"/>
      <c r="H273" s="172"/>
      <c r="I273" s="172"/>
      <c r="J273" s="172"/>
      <c r="K273" s="172"/>
      <c r="L273" s="172"/>
      <c r="M273" s="173"/>
    </row>
    <row r="274" spans="1:13" x14ac:dyDescent="0.2">
      <c r="B274" s="3" t="s">
        <v>84</v>
      </c>
      <c r="C274" s="1">
        <v>0</v>
      </c>
      <c r="D274" s="1">
        <v>1</v>
      </c>
      <c r="E274" s="1">
        <v>2</v>
      </c>
      <c r="F274" s="1">
        <v>3</v>
      </c>
      <c r="G274" s="1">
        <v>4</v>
      </c>
      <c r="H274" s="1">
        <v>5</v>
      </c>
      <c r="I274" s="1">
        <v>6</v>
      </c>
      <c r="J274" s="1">
        <v>7</v>
      </c>
      <c r="K274" s="1">
        <v>8</v>
      </c>
      <c r="L274" s="1">
        <v>9</v>
      </c>
      <c r="M274" s="1">
        <v>10</v>
      </c>
    </row>
    <row r="275" spans="1:13" x14ac:dyDescent="0.2">
      <c r="B275" s="27" t="s">
        <v>90</v>
      </c>
      <c r="D275" s="1">
        <f>+C269</f>
        <v>3.0680000000000005</v>
      </c>
      <c r="E275" s="1">
        <f t="shared" ref="E275:M275" si="26">+D269</f>
        <v>3.0680000000000005</v>
      </c>
      <c r="F275" s="1">
        <f t="shared" si="26"/>
        <v>3.0680000000000005</v>
      </c>
      <c r="G275" s="1">
        <f t="shared" si="26"/>
        <v>3.0680000000000005</v>
      </c>
      <c r="H275" s="1">
        <f t="shared" si="26"/>
        <v>3.0680000000000005</v>
      </c>
      <c r="I275" s="1">
        <f t="shared" si="26"/>
        <v>3.0680000000000005</v>
      </c>
      <c r="J275" s="1">
        <f t="shared" si="26"/>
        <v>3.0680000000000005</v>
      </c>
      <c r="K275" s="1">
        <f t="shared" si="26"/>
        <v>3.0680000000000005</v>
      </c>
      <c r="L275" s="1">
        <f t="shared" si="26"/>
        <v>3.0680000000000005</v>
      </c>
      <c r="M275" s="1">
        <f t="shared" si="26"/>
        <v>3.0680000000000005</v>
      </c>
    </row>
    <row r="276" spans="1:13" x14ac:dyDescent="0.2">
      <c r="B276" s="27"/>
    </row>
    <row r="277" spans="1:13" x14ac:dyDescent="0.2">
      <c r="B277" s="29" t="s">
        <v>92</v>
      </c>
    </row>
    <row r="278" spans="1:13" x14ac:dyDescent="0.2">
      <c r="B278" s="27" t="s">
        <v>78</v>
      </c>
      <c r="D278" s="1">
        <f t="shared" ref="D278:M278" si="27">+C266</f>
        <v>2.8</v>
      </c>
      <c r="E278" s="1">
        <f t="shared" si="27"/>
        <v>2.8</v>
      </c>
      <c r="F278" s="1">
        <f t="shared" si="27"/>
        <v>2.8</v>
      </c>
      <c r="G278" s="1">
        <f t="shared" si="27"/>
        <v>2.8</v>
      </c>
      <c r="H278" s="1">
        <f t="shared" si="27"/>
        <v>2.8</v>
      </c>
      <c r="I278" s="1">
        <f t="shared" si="27"/>
        <v>2.8</v>
      </c>
      <c r="J278" s="1">
        <f t="shared" si="27"/>
        <v>2.8</v>
      </c>
      <c r="K278" s="1">
        <f t="shared" si="27"/>
        <v>2.8</v>
      </c>
      <c r="L278" s="1">
        <f t="shared" si="27"/>
        <v>2.8</v>
      </c>
      <c r="M278" s="1">
        <f t="shared" si="27"/>
        <v>2.8</v>
      </c>
    </row>
    <row r="279" spans="1:13" x14ac:dyDescent="0.2">
      <c r="B279" s="27" t="s">
        <v>93</v>
      </c>
      <c r="C279" s="1">
        <v>7</v>
      </c>
      <c r="M279" s="1">
        <v>-3.5</v>
      </c>
    </row>
    <row r="280" spans="1:13" x14ac:dyDescent="0.2">
      <c r="B280" s="27"/>
    </row>
    <row r="281" spans="1:13" x14ac:dyDescent="0.2">
      <c r="B281" s="29" t="s">
        <v>94</v>
      </c>
    </row>
    <row r="282" spans="1:13" x14ac:dyDescent="0.2">
      <c r="B282" s="28" t="s">
        <v>95</v>
      </c>
      <c r="C282" s="30">
        <f>SUM(D278:M278)</f>
        <v>28.000000000000004</v>
      </c>
      <c r="D282" s="5"/>
      <c r="E282" s="5"/>
      <c r="F282" s="5"/>
      <c r="G282" s="5"/>
      <c r="H282" s="5"/>
      <c r="I282" s="5"/>
      <c r="J282" s="5"/>
      <c r="K282" s="5"/>
      <c r="L282" s="5"/>
      <c r="M282" s="5"/>
    </row>
    <row r="283" spans="1:13" x14ac:dyDescent="0.2">
      <c r="B283" s="1" t="s">
        <v>96</v>
      </c>
      <c r="C283" s="1">
        <f t="shared" ref="C283:M283" si="28">+C275+C278-C282-C279</f>
        <v>-35</v>
      </c>
      <c r="D283" s="1">
        <f t="shared" si="28"/>
        <v>5.8680000000000003</v>
      </c>
      <c r="E283" s="1">
        <f t="shared" si="28"/>
        <v>5.8680000000000003</v>
      </c>
      <c r="F283" s="1">
        <f t="shared" si="28"/>
        <v>5.8680000000000003</v>
      </c>
      <c r="G283" s="1">
        <f t="shared" si="28"/>
        <v>5.8680000000000003</v>
      </c>
      <c r="H283" s="1">
        <f t="shared" si="28"/>
        <v>5.8680000000000003</v>
      </c>
      <c r="I283" s="1">
        <f t="shared" si="28"/>
        <v>5.8680000000000003</v>
      </c>
      <c r="J283" s="1">
        <f t="shared" si="28"/>
        <v>5.8680000000000003</v>
      </c>
      <c r="K283" s="1">
        <f t="shared" si="28"/>
        <v>5.8680000000000003</v>
      </c>
      <c r="L283" s="1">
        <f t="shared" si="28"/>
        <v>5.8680000000000003</v>
      </c>
      <c r="M283" s="1">
        <f t="shared" si="28"/>
        <v>9.3680000000000003</v>
      </c>
    </row>
    <row r="286" spans="1:13" x14ac:dyDescent="0.2">
      <c r="B286" s="1" t="s">
        <v>21</v>
      </c>
      <c r="C286" s="31">
        <v>0.11</v>
      </c>
    </row>
    <row r="288" spans="1:13" x14ac:dyDescent="0.2">
      <c r="A288" s="12" t="s">
        <v>6</v>
      </c>
      <c r="B288" s="1" t="s">
        <v>22</v>
      </c>
      <c r="C288" s="32">
        <f>C283+PV(C286,9,-D283)+M283/(1+C286)^10</f>
        <v>0.79065911708725434</v>
      </c>
    </row>
    <row r="293" spans="1:13" x14ac:dyDescent="0.2">
      <c r="A293" s="11">
        <v>13</v>
      </c>
      <c r="B293" s="5"/>
      <c r="C293" s="5"/>
      <c r="D293" s="5"/>
      <c r="E293" s="5"/>
      <c r="F293" s="5"/>
      <c r="G293" s="5"/>
      <c r="H293" s="5"/>
    </row>
    <row r="295" spans="1:13" x14ac:dyDescent="0.2">
      <c r="A295" s="12" t="s">
        <v>110</v>
      </c>
      <c r="B295" s="2" t="s">
        <v>22</v>
      </c>
    </row>
    <row r="296" spans="1:13" x14ac:dyDescent="0.2">
      <c r="B296" s="1" t="s">
        <v>65</v>
      </c>
      <c r="C296" s="1">
        <v>0.05</v>
      </c>
      <c r="D296" s="1">
        <v>0.06</v>
      </c>
      <c r="E296" s="1">
        <v>7.0000000000000007E-2</v>
      </c>
      <c r="F296" s="1">
        <v>0.08</v>
      </c>
      <c r="G296" s="1">
        <v>0.09</v>
      </c>
      <c r="H296" s="1">
        <v>0.1</v>
      </c>
      <c r="I296" s="1">
        <v>0.11</v>
      </c>
      <c r="J296" s="1">
        <v>0.12</v>
      </c>
      <c r="K296" s="1">
        <v>0.13</v>
      </c>
      <c r="L296" s="1">
        <v>0.14000000000000001</v>
      </c>
      <c r="M296" s="1">
        <v>0.15</v>
      </c>
    </row>
    <row r="297" spans="1:13" x14ac:dyDescent="0.2">
      <c r="B297" s="1" t="s">
        <v>98</v>
      </c>
      <c r="C297" s="19">
        <f>-20+2/C$296</f>
        <v>20</v>
      </c>
      <c r="D297" s="19">
        <f>-20+2/D$296</f>
        <v>13.333333333333336</v>
      </c>
      <c r="E297" s="19">
        <f t="shared" ref="E297:M297" si="29">-20+2/E$296</f>
        <v>8.5714285714285694</v>
      </c>
      <c r="F297" s="19">
        <f t="shared" si="29"/>
        <v>5</v>
      </c>
      <c r="G297" s="19">
        <f t="shared" si="29"/>
        <v>2.2222222222222214</v>
      </c>
      <c r="H297" s="19">
        <f t="shared" si="29"/>
        <v>0</v>
      </c>
      <c r="I297" s="19">
        <f t="shared" si="29"/>
        <v>-1.8181818181818166</v>
      </c>
      <c r="J297" s="19">
        <f t="shared" si="29"/>
        <v>-3.3333333333333321</v>
      </c>
      <c r="K297" s="19">
        <f t="shared" si="29"/>
        <v>-4.6153846153846168</v>
      </c>
      <c r="L297" s="19">
        <f t="shared" si="29"/>
        <v>-5.7142857142857153</v>
      </c>
      <c r="M297" s="19">
        <f t="shared" si="29"/>
        <v>-6.6666666666666661</v>
      </c>
    </row>
    <row r="298" spans="1:13" x14ac:dyDescent="0.2">
      <c r="B298" s="1" t="s">
        <v>99</v>
      </c>
      <c r="C298" s="19">
        <f>-20+1.5/(C$296-0.02)</f>
        <v>29.999999999999993</v>
      </c>
      <c r="D298" s="19">
        <f t="shared" ref="D298:M298" si="30">-20+1.5/(D$296-0.02)</f>
        <v>17.500000000000007</v>
      </c>
      <c r="E298" s="19">
        <f t="shared" si="30"/>
        <v>10</v>
      </c>
      <c r="F298" s="19">
        <f t="shared" si="30"/>
        <v>5</v>
      </c>
      <c r="G298" s="19">
        <f t="shared" si="30"/>
        <v>1.4285714285714306</v>
      </c>
      <c r="H298" s="19">
        <f t="shared" si="30"/>
        <v>-1.25</v>
      </c>
      <c r="I298" s="19">
        <f t="shared" si="30"/>
        <v>-3.3333333333333321</v>
      </c>
      <c r="J298" s="19">
        <f t="shared" si="30"/>
        <v>-4.9999999999999982</v>
      </c>
      <c r="K298" s="19">
        <f t="shared" si="30"/>
        <v>-6.3636363636363633</v>
      </c>
      <c r="L298" s="19">
        <f t="shared" si="30"/>
        <v>-7.5000000000000018</v>
      </c>
      <c r="M298" s="19">
        <f t="shared" si="30"/>
        <v>-8.4615384615384617</v>
      </c>
    </row>
    <row r="302" spans="1:13" x14ac:dyDescent="0.2">
      <c r="B302" s="174" t="s">
        <v>103</v>
      </c>
      <c r="C302" s="175"/>
      <c r="D302" s="175"/>
      <c r="E302" s="175"/>
      <c r="F302" s="175"/>
      <c r="G302" s="175"/>
      <c r="H302" s="175"/>
      <c r="I302" s="175"/>
      <c r="J302" s="175"/>
      <c r="K302" s="175"/>
      <c r="L302" s="175"/>
    </row>
    <row r="303" spans="1:13" x14ac:dyDescent="0.2">
      <c r="B303" s="174"/>
      <c r="C303" s="175"/>
      <c r="D303" s="175"/>
      <c r="E303" s="175"/>
      <c r="F303" s="175"/>
      <c r="G303" s="175"/>
      <c r="H303" s="175"/>
      <c r="I303" s="175"/>
      <c r="J303" s="175"/>
      <c r="K303" s="175"/>
      <c r="L303" s="175"/>
    </row>
    <row r="304" spans="1:13" x14ac:dyDescent="0.2">
      <c r="B304" s="174"/>
      <c r="C304" s="175"/>
      <c r="D304" s="175"/>
      <c r="E304" s="175"/>
      <c r="F304" s="175"/>
      <c r="G304" s="175"/>
      <c r="H304" s="175"/>
      <c r="I304" s="175"/>
      <c r="J304" s="175"/>
      <c r="K304" s="175"/>
      <c r="L304" s="175"/>
    </row>
    <row r="305" spans="2:19" x14ac:dyDescent="0.2">
      <c r="B305" s="174"/>
      <c r="C305" s="175"/>
      <c r="D305" s="175"/>
      <c r="E305" s="175"/>
      <c r="F305" s="175"/>
      <c r="G305" s="175"/>
      <c r="H305" s="175"/>
      <c r="I305" s="175"/>
      <c r="J305" s="175"/>
      <c r="K305" s="175"/>
      <c r="L305" s="175"/>
    </row>
    <row r="310" spans="2:19" x14ac:dyDescent="0.2">
      <c r="B310" s="2" t="s">
        <v>100</v>
      </c>
    </row>
    <row r="311" spans="2:19" x14ac:dyDescent="0.2">
      <c r="B311" s="1" t="s">
        <v>98</v>
      </c>
      <c r="C311" s="27" t="s">
        <v>101</v>
      </c>
    </row>
    <row r="312" spans="2:19" x14ac:dyDescent="0.2">
      <c r="B312" s="1" t="s">
        <v>99</v>
      </c>
      <c r="C312" s="27" t="s">
        <v>102</v>
      </c>
    </row>
    <row r="314" spans="2:19" ht="43" customHeight="1" x14ac:dyDescent="0.2">
      <c r="B314" s="168" t="s">
        <v>104</v>
      </c>
      <c r="C314" s="169"/>
      <c r="D314" s="169"/>
      <c r="E314" s="169"/>
      <c r="F314" s="169"/>
      <c r="G314" s="169"/>
      <c r="H314" s="169"/>
      <c r="I314" s="169"/>
      <c r="J314" s="169"/>
      <c r="K314" s="169"/>
    </row>
    <row r="317" spans="2:19" x14ac:dyDescent="0.2">
      <c r="B317" s="2" t="s">
        <v>105</v>
      </c>
    </row>
    <row r="318" spans="2:19" x14ac:dyDescent="0.2">
      <c r="B318" s="1" t="s">
        <v>70</v>
      </c>
      <c r="C318" s="1">
        <v>0</v>
      </c>
      <c r="D318" s="1">
        <v>1</v>
      </c>
      <c r="E318" s="1">
        <v>2</v>
      </c>
      <c r="F318" s="1">
        <v>3</v>
      </c>
      <c r="G318" s="1">
        <v>4</v>
      </c>
      <c r="H318" s="1">
        <v>5</v>
      </c>
      <c r="I318" s="1">
        <v>6</v>
      </c>
      <c r="J318" s="1">
        <v>7</v>
      </c>
      <c r="K318" s="1">
        <v>8</v>
      </c>
      <c r="L318" s="1">
        <v>9</v>
      </c>
      <c r="M318" s="1">
        <v>10</v>
      </c>
      <c r="N318" s="1">
        <v>11</v>
      </c>
      <c r="O318" s="1">
        <v>12</v>
      </c>
      <c r="P318" s="1">
        <v>13</v>
      </c>
      <c r="Q318" s="1">
        <v>14</v>
      </c>
      <c r="R318" s="1">
        <v>15</v>
      </c>
      <c r="S318" s="1" t="s">
        <v>108</v>
      </c>
    </row>
    <row r="319" spans="2:19" x14ac:dyDescent="0.2">
      <c r="B319" s="1" t="s">
        <v>98</v>
      </c>
      <c r="C319" s="1">
        <v>-20</v>
      </c>
      <c r="D319" s="1">
        <v>2</v>
      </c>
      <c r="E319" s="1">
        <v>2</v>
      </c>
      <c r="F319" s="1">
        <v>2</v>
      </c>
      <c r="G319" s="1">
        <v>2</v>
      </c>
      <c r="H319" s="1">
        <v>2</v>
      </c>
      <c r="I319" s="1">
        <v>2</v>
      </c>
      <c r="J319" s="1">
        <v>2</v>
      </c>
      <c r="K319" s="1">
        <v>2</v>
      </c>
      <c r="L319" s="1">
        <v>2</v>
      </c>
      <c r="M319" s="1">
        <v>2</v>
      </c>
      <c r="N319" s="1">
        <v>2</v>
      </c>
      <c r="O319" s="1">
        <v>2</v>
      </c>
      <c r="P319" s="1">
        <v>2</v>
      </c>
      <c r="Q319" s="1">
        <v>2</v>
      </c>
      <c r="R319" s="1">
        <v>2</v>
      </c>
    </row>
    <row r="320" spans="2:19" x14ac:dyDescent="0.2">
      <c r="B320" s="1" t="s">
        <v>107</v>
      </c>
      <c r="C320" s="1">
        <f>C319</f>
        <v>-20</v>
      </c>
      <c r="D320" s="1">
        <f>C320+D319</f>
        <v>-18</v>
      </c>
      <c r="E320" s="1">
        <f t="shared" ref="E320:R320" si="31">D320+E319</f>
        <v>-16</v>
      </c>
      <c r="F320" s="1">
        <f t="shared" si="31"/>
        <v>-14</v>
      </c>
      <c r="G320" s="1">
        <f t="shared" si="31"/>
        <v>-12</v>
      </c>
      <c r="H320" s="1">
        <f t="shared" si="31"/>
        <v>-10</v>
      </c>
      <c r="I320" s="1">
        <f t="shared" si="31"/>
        <v>-8</v>
      </c>
      <c r="J320" s="1">
        <f t="shared" si="31"/>
        <v>-6</v>
      </c>
      <c r="K320" s="1">
        <f t="shared" si="31"/>
        <v>-4</v>
      </c>
      <c r="L320" s="1">
        <f t="shared" si="31"/>
        <v>-2</v>
      </c>
      <c r="M320" s="1">
        <f t="shared" si="31"/>
        <v>0</v>
      </c>
      <c r="N320" s="1">
        <f t="shared" si="31"/>
        <v>2</v>
      </c>
      <c r="O320" s="1">
        <f t="shared" si="31"/>
        <v>4</v>
      </c>
      <c r="P320" s="1">
        <f t="shared" si="31"/>
        <v>6</v>
      </c>
      <c r="Q320" s="1">
        <f t="shared" si="31"/>
        <v>8</v>
      </c>
      <c r="R320" s="1">
        <f t="shared" si="31"/>
        <v>10</v>
      </c>
    </row>
    <row r="322" spans="1:18" x14ac:dyDescent="0.2">
      <c r="B322" s="1" t="s">
        <v>99</v>
      </c>
      <c r="C322" s="1">
        <v>-20</v>
      </c>
      <c r="D322" s="33">
        <v>1.5</v>
      </c>
      <c r="E322" s="33">
        <f>D322*(1.02)</f>
        <v>1.53</v>
      </c>
      <c r="F322" s="33">
        <f t="shared" ref="F322:R322" si="32">E322*(1.02)</f>
        <v>1.5606</v>
      </c>
      <c r="G322" s="33">
        <f t="shared" si="32"/>
        <v>1.591812</v>
      </c>
      <c r="H322" s="33">
        <f t="shared" si="32"/>
        <v>1.6236482400000001</v>
      </c>
      <c r="I322" s="33">
        <f t="shared" si="32"/>
        <v>1.6561212048</v>
      </c>
      <c r="J322" s="33">
        <f t="shared" si="32"/>
        <v>1.689243628896</v>
      </c>
      <c r="K322" s="33">
        <f t="shared" si="32"/>
        <v>1.7230285014739199</v>
      </c>
      <c r="L322" s="33">
        <f t="shared" si="32"/>
        <v>1.7574890715033984</v>
      </c>
      <c r="M322" s="33">
        <f t="shared" si="32"/>
        <v>1.7926388529334665</v>
      </c>
      <c r="N322" s="33">
        <f t="shared" si="32"/>
        <v>1.8284916299921359</v>
      </c>
      <c r="O322" s="33">
        <f t="shared" si="32"/>
        <v>1.8650614625919786</v>
      </c>
      <c r="P322" s="33">
        <f t="shared" si="32"/>
        <v>1.9023626918438181</v>
      </c>
      <c r="Q322" s="33">
        <f t="shared" si="32"/>
        <v>1.9404099456806945</v>
      </c>
      <c r="R322" s="33">
        <f t="shared" si="32"/>
        <v>1.9792181445943084</v>
      </c>
    </row>
    <row r="323" spans="1:18" x14ac:dyDescent="0.2">
      <c r="B323" s="1" t="s">
        <v>107</v>
      </c>
      <c r="C323" s="1">
        <f>C322</f>
        <v>-20</v>
      </c>
      <c r="D323" s="33">
        <f>C323+D322</f>
        <v>-18.5</v>
      </c>
      <c r="E323" s="33">
        <f t="shared" ref="E323:R323" si="33">D323+E322</f>
        <v>-16.97</v>
      </c>
      <c r="F323" s="33">
        <f t="shared" si="33"/>
        <v>-15.409399999999998</v>
      </c>
      <c r="G323" s="33">
        <f t="shared" si="33"/>
        <v>-13.817587999999997</v>
      </c>
      <c r="H323" s="33">
        <f t="shared" si="33"/>
        <v>-12.193939759999997</v>
      </c>
      <c r="I323" s="33">
        <f t="shared" si="33"/>
        <v>-10.537818555199998</v>
      </c>
      <c r="J323" s="33">
        <f t="shared" si="33"/>
        <v>-8.8485749263039981</v>
      </c>
      <c r="K323" s="33">
        <f t="shared" si="33"/>
        <v>-7.1255464248300786</v>
      </c>
      <c r="L323" s="33">
        <f t="shared" si="33"/>
        <v>-5.3680573533266802</v>
      </c>
      <c r="M323" s="33">
        <f t="shared" si="33"/>
        <v>-3.575418500393214</v>
      </c>
      <c r="N323" s="33">
        <f t="shared" si="33"/>
        <v>-1.7469268704010781</v>
      </c>
      <c r="O323" s="33">
        <f t="shared" si="33"/>
        <v>0.1181345921909005</v>
      </c>
      <c r="P323" s="33">
        <f t="shared" si="33"/>
        <v>2.0204972840347186</v>
      </c>
      <c r="Q323" s="33">
        <f t="shared" si="33"/>
        <v>3.9609072297154131</v>
      </c>
      <c r="R323" s="33">
        <f t="shared" si="33"/>
        <v>5.9401253743097211</v>
      </c>
    </row>
    <row r="325" spans="1:18" ht="16" customHeight="1" x14ac:dyDescent="0.2">
      <c r="B325" s="168" t="s">
        <v>109</v>
      </c>
      <c r="C325" s="169"/>
      <c r="D325" s="169"/>
      <c r="E325" s="169"/>
      <c r="F325" s="169"/>
      <c r="G325" s="169"/>
      <c r="H325" s="169"/>
      <c r="I325" s="169"/>
      <c r="J325" s="169"/>
      <c r="K325" s="169"/>
      <c r="L325" s="169"/>
      <c r="M325" s="169"/>
    </row>
    <row r="326" spans="1:18" x14ac:dyDescent="0.2">
      <c r="B326" s="168"/>
      <c r="C326" s="169"/>
      <c r="D326" s="169"/>
      <c r="E326" s="169"/>
      <c r="F326" s="169"/>
      <c r="G326" s="169"/>
      <c r="H326" s="169"/>
      <c r="I326" s="169"/>
      <c r="J326" s="169"/>
      <c r="K326" s="169"/>
      <c r="L326" s="169"/>
      <c r="M326" s="169"/>
    </row>
    <row r="327" spans="1:18" x14ac:dyDescent="0.2">
      <c r="B327" s="168"/>
      <c r="C327" s="169"/>
      <c r="D327" s="169"/>
      <c r="E327" s="169"/>
      <c r="F327" s="169"/>
      <c r="G327" s="169"/>
      <c r="H327" s="169"/>
      <c r="I327" s="169"/>
      <c r="J327" s="169"/>
      <c r="K327" s="169"/>
      <c r="L327" s="169"/>
      <c r="M327" s="169"/>
    </row>
    <row r="330" spans="1:18" x14ac:dyDescent="0.2">
      <c r="A330" s="11">
        <v>14</v>
      </c>
      <c r="B330" s="5"/>
      <c r="C330" s="5"/>
      <c r="D330" s="5"/>
      <c r="E330" s="5"/>
      <c r="F330" s="5"/>
      <c r="G330" s="5"/>
      <c r="H330" s="5"/>
    </row>
    <row r="332" spans="1:18" x14ac:dyDescent="0.2">
      <c r="B332" s="1" t="s">
        <v>124</v>
      </c>
    </row>
    <row r="334" spans="1:18" x14ac:dyDescent="0.2">
      <c r="B334" s="2" t="s">
        <v>98</v>
      </c>
    </row>
    <row r="335" spans="1:18" x14ac:dyDescent="0.2">
      <c r="B335" s="1" t="s">
        <v>123</v>
      </c>
      <c r="D335" s="1">
        <f>-5000 + 1000/0.1</f>
        <v>5000</v>
      </c>
    </row>
    <row r="337" spans="2:8" x14ac:dyDescent="0.2">
      <c r="B337" s="1" t="s">
        <v>125</v>
      </c>
    </row>
    <row r="339" spans="2:8" x14ac:dyDescent="0.2">
      <c r="B339" s="2" t="s">
        <v>99</v>
      </c>
    </row>
    <row r="340" spans="2:8" x14ac:dyDescent="0.2">
      <c r="B340" s="1" t="s">
        <v>126</v>
      </c>
      <c r="E340" s="34">
        <f>-5000 + 1500/0.1 * (1-1/(1+0.1)^10)</f>
        <v>4216.8506585570285</v>
      </c>
    </row>
    <row r="342" spans="2:8" x14ac:dyDescent="0.2">
      <c r="B342" s="1" t="s">
        <v>127</v>
      </c>
      <c r="H342" s="19">
        <f>4216.85 /(1/ 0.1 * (1-1/(1+0.1)^10) )</f>
        <v>686.27291841031877</v>
      </c>
    </row>
    <row r="344" spans="2:8" x14ac:dyDescent="0.2">
      <c r="B344" s="1" t="s">
        <v>128</v>
      </c>
    </row>
  </sheetData>
  <mergeCells count="9">
    <mergeCell ref="B314:K314"/>
    <mergeCell ref="B325:M327"/>
    <mergeCell ref="B11:G13"/>
    <mergeCell ref="B177:K177"/>
    <mergeCell ref="B224:H225"/>
    <mergeCell ref="C260:L260"/>
    <mergeCell ref="C273:M273"/>
    <mergeCell ref="B302:L305"/>
    <mergeCell ref="C128:E1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BD3F-1AC4-BD49-8059-533442DC3E15}">
  <dimension ref="A1:P331"/>
  <sheetViews>
    <sheetView zoomScaleNormal="100" workbookViewId="0"/>
  </sheetViews>
  <sheetFormatPr baseColWidth="10" defaultRowHeight="16" x14ac:dyDescent="0.2"/>
  <cols>
    <col min="1" max="1" width="12.1640625" style="12" customWidth="1"/>
    <col min="2" max="2" width="26.33203125" style="1" customWidth="1"/>
    <col min="3" max="3" width="16.83203125" style="1" customWidth="1"/>
    <col min="4" max="16384" width="10.83203125" style="1"/>
  </cols>
  <sheetData>
    <row r="1" spans="1:8" x14ac:dyDescent="0.2">
      <c r="A1" s="9" t="s">
        <v>653</v>
      </c>
    </row>
    <row r="3" spans="1:8" x14ac:dyDescent="0.2">
      <c r="A3" s="11">
        <v>1</v>
      </c>
      <c r="B3" s="5"/>
      <c r="C3" s="5"/>
      <c r="D3" s="5"/>
      <c r="E3" s="5"/>
      <c r="F3" s="5"/>
      <c r="G3" s="5"/>
      <c r="H3" s="5"/>
    </row>
    <row r="5" spans="1:8" x14ac:dyDescent="0.2">
      <c r="A5" s="12" t="s">
        <v>4</v>
      </c>
      <c r="B5" s="1" t="s">
        <v>219</v>
      </c>
    </row>
    <row r="7" spans="1:8" x14ac:dyDescent="0.2">
      <c r="B7" s="1" t="s">
        <v>220</v>
      </c>
      <c r="E7" s="20">
        <f xml:space="preserve"> 0.25 / 0.06 * (1-1/(1+0.06)^5)  + 5/(1+0.06)^5</f>
        <v>4.7893818107217143</v>
      </c>
    </row>
    <row r="9" spans="1:8" x14ac:dyDescent="0.2">
      <c r="A9" s="12" t="s">
        <v>5</v>
      </c>
      <c r="B9" s="1" t="s">
        <v>221</v>
      </c>
      <c r="E9" s="56">
        <f xml:space="preserve"> 0.25 / 0.06 * (1-1/(1+0.06)^4)  + 5/(1+0.06)^4</f>
        <v>4.826744719365017</v>
      </c>
    </row>
    <row r="13" spans="1:8" x14ac:dyDescent="0.2">
      <c r="A13" s="11">
        <v>2</v>
      </c>
      <c r="B13" s="5"/>
      <c r="C13" s="5"/>
      <c r="D13" s="5"/>
      <c r="E13" s="5"/>
      <c r="F13" s="5"/>
      <c r="G13" s="5"/>
      <c r="H13" s="5"/>
    </row>
    <row r="15" spans="1:8" x14ac:dyDescent="0.2">
      <c r="B15" s="42"/>
      <c r="C15" s="41" t="s">
        <v>112</v>
      </c>
      <c r="D15" s="41" t="s">
        <v>113</v>
      </c>
      <c r="E15" s="41" t="s">
        <v>114</v>
      </c>
      <c r="F15" s="41" t="s">
        <v>130</v>
      </c>
      <c r="G15" s="41" t="s">
        <v>131</v>
      </c>
    </row>
    <row r="16" spans="1:8" x14ac:dyDescent="0.2">
      <c r="B16" s="1" t="s">
        <v>129</v>
      </c>
      <c r="C16" s="4">
        <v>2</v>
      </c>
      <c r="D16" s="4">
        <v>3</v>
      </c>
      <c r="E16" s="4">
        <v>2</v>
      </c>
      <c r="F16" s="4">
        <v>2</v>
      </c>
      <c r="G16" s="35">
        <f>LN(100/G18)/LN(1+G19)</f>
        <v>5.0043650613068387</v>
      </c>
    </row>
    <row r="17" spans="1:8" x14ac:dyDescent="0.2">
      <c r="B17" s="1" t="s">
        <v>132</v>
      </c>
      <c r="C17" s="39">
        <v>0</v>
      </c>
      <c r="D17" s="39">
        <v>0</v>
      </c>
      <c r="E17" s="39">
        <v>0.02</v>
      </c>
      <c r="F17" s="39">
        <v>0.03</v>
      </c>
      <c r="G17" s="39">
        <v>0</v>
      </c>
    </row>
    <row r="18" spans="1:8" x14ac:dyDescent="0.2">
      <c r="B18" s="1" t="s">
        <v>133</v>
      </c>
      <c r="C18" s="4">
        <v>93.85</v>
      </c>
      <c r="D18" s="36">
        <f>100/(1+D19)^D16</f>
        <v>92.859941091974875</v>
      </c>
      <c r="E18" s="36">
        <f>(100*E17)/(1+E19)+(100*E17+100)/(1+E19)^2</f>
        <v>98.086530304458478</v>
      </c>
      <c r="F18" s="10">
        <f>(100*F17)/(1+F19)+(100*F17+100)/(1+F19)^2</f>
        <v>89.469999928570886</v>
      </c>
      <c r="G18" s="10">
        <v>92.82</v>
      </c>
    </row>
    <row r="19" spans="1:8" x14ac:dyDescent="0.2">
      <c r="B19" s="1" t="s">
        <v>134</v>
      </c>
      <c r="C19" s="37">
        <f>(100/C18)^(1/C16)-1</f>
        <v>3.2245174958623668E-2</v>
      </c>
      <c r="D19" s="40">
        <v>2.5000000000000001E-2</v>
      </c>
      <c r="E19" s="40">
        <v>0.03</v>
      </c>
      <c r="F19" s="38">
        <v>8.9847384414605574E-2</v>
      </c>
      <c r="G19" s="40">
        <v>1.4999999999999999E-2</v>
      </c>
    </row>
    <row r="23" spans="1:8" x14ac:dyDescent="0.2">
      <c r="A23" s="11">
        <v>3</v>
      </c>
      <c r="B23" s="5"/>
      <c r="C23" s="5"/>
      <c r="D23" s="5"/>
      <c r="E23" s="5"/>
      <c r="F23" s="5"/>
      <c r="G23" s="5"/>
      <c r="H23" s="5"/>
    </row>
    <row r="25" spans="1:8" x14ac:dyDescent="0.2">
      <c r="A25" s="12" t="s">
        <v>4</v>
      </c>
      <c r="B25" s="1" t="s">
        <v>222</v>
      </c>
    </row>
    <row r="27" spans="1:8" x14ac:dyDescent="0.2">
      <c r="B27" s="1" t="s">
        <v>227</v>
      </c>
      <c r="F27" s="16">
        <f xml:space="preserve"> 1.12^0.5 -1</f>
        <v>5.8300524425836331E-2</v>
      </c>
    </row>
    <row r="29" spans="1:8" x14ac:dyDescent="0.2">
      <c r="B29" s="1" t="s">
        <v>224</v>
      </c>
    </row>
    <row r="31" spans="1:8" x14ac:dyDescent="0.2">
      <c r="B31" s="1" t="s">
        <v>223</v>
      </c>
    </row>
    <row r="33" spans="1:10" x14ac:dyDescent="0.2">
      <c r="B33" s="1" t="s">
        <v>225</v>
      </c>
      <c r="F33" s="57">
        <f xml:space="preserve"> 0.04 / 0.0583 * (1-1/(1+0.0583)^40)+ 1 / (1+0.0583) ^ 40</f>
        <v>0.71864733112582768</v>
      </c>
    </row>
    <row r="35" spans="1:10" x14ac:dyDescent="0.2">
      <c r="B35" s="1" t="s">
        <v>226</v>
      </c>
    </row>
    <row r="37" spans="1:10" x14ac:dyDescent="0.2">
      <c r="A37" s="12" t="s">
        <v>5</v>
      </c>
      <c r="B37" s="1" t="s">
        <v>228</v>
      </c>
      <c r="F37" s="57">
        <f xml:space="preserve"> 0.05 / 0.0583 * (1-1/(1+0.0583)^30) + 1 / (1+0.0583) ^ 30</f>
        <v>0.88364325062212101</v>
      </c>
    </row>
    <row r="42" spans="1:10" x14ac:dyDescent="0.2">
      <c r="A42" s="11">
        <v>4</v>
      </c>
      <c r="B42" s="5"/>
      <c r="C42" s="5"/>
      <c r="D42" s="5"/>
      <c r="E42" s="5"/>
      <c r="F42" s="5"/>
      <c r="G42" s="5"/>
      <c r="H42" s="5"/>
    </row>
    <row r="44" spans="1:10" x14ac:dyDescent="0.2">
      <c r="B44" s="1" t="s">
        <v>187</v>
      </c>
    </row>
    <row r="45" spans="1:10" x14ac:dyDescent="0.2">
      <c r="B45" s="44" t="s">
        <v>146</v>
      </c>
      <c r="C45" s="44"/>
      <c r="D45" s="44"/>
      <c r="E45" s="44"/>
      <c r="F45" s="44"/>
      <c r="G45" s="44"/>
      <c r="H45" s="44"/>
      <c r="I45" s="44"/>
      <c r="J45" s="44"/>
    </row>
    <row r="46" spans="1:10" x14ac:dyDescent="0.2">
      <c r="B46" s="44" t="s">
        <v>147</v>
      </c>
      <c r="C46" s="44"/>
      <c r="D46" s="44"/>
      <c r="E46" s="44"/>
      <c r="F46" s="44"/>
      <c r="G46" s="44"/>
      <c r="H46" s="44"/>
      <c r="I46" s="44"/>
      <c r="J46" s="44"/>
    </row>
    <row r="47" spans="1:10" x14ac:dyDescent="0.2">
      <c r="B47" s="45"/>
      <c r="C47" s="46" t="s">
        <v>148</v>
      </c>
      <c r="D47" s="46"/>
      <c r="E47" s="45"/>
      <c r="F47" s="46" t="s">
        <v>149</v>
      </c>
      <c r="G47" s="46"/>
      <c r="H47" s="46"/>
      <c r="I47" s="45"/>
      <c r="J47" s="44"/>
    </row>
    <row r="48" spans="1:10" x14ac:dyDescent="0.2">
      <c r="B48" s="45"/>
      <c r="C48" s="49" t="s">
        <v>150</v>
      </c>
      <c r="D48" s="49" t="s">
        <v>151</v>
      </c>
      <c r="E48" s="49" t="s">
        <v>152</v>
      </c>
      <c r="F48" s="49" t="s">
        <v>153</v>
      </c>
      <c r="G48" s="49" t="s">
        <v>154</v>
      </c>
      <c r="H48" s="49" t="s">
        <v>155</v>
      </c>
      <c r="I48" s="49" t="s">
        <v>156</v>
      </c>
      <c r="J48" s="44"/>
    </row>
    <row r="49" spans="2:10" x14ac:dyDescent="0.2">
      <c r="B49" s="46" t="s">
        <v>26</v>
      </c>
      <c r="C49" s="49" t="s">
        <v>157</v>
      </c>
      <c r="D49" s="49" t="s">
        <v>157</v>
      </c>
      <c r="E49" s="49" t="s">
        <v>157</v>
      </c>
      <c r="F49" s="49" t="s">
        <v>157</v>
      </c>
      <c r="G49" s="49" t="s">
        <v>157</v>
      </c>
      <c r="H49" s="49" t="s">
        <v>157</v>
      </c>
      <c r="I49" s="49" t="s">
        <v>157</v>
      </c>
      <c r="J49" s="44"/>
    </row>
    <row r="50" spans="2:10" x14ac:dyDescent="0.2">
      <c r="B50" s="44" t="s">
        <v>158</v>
      </c>
      <c r="C50" s="48">
        <v>-0.45</v>
      </c>
      <c r="D50" s="48">
        <v>-0.44</v>
      </c>
      <c r="E50" s="48">
        <v>-0.35</v>
      </c>
      <c r="F50" s="48">
        <v>-0.39</v>
      </c>
      <c r="G50" s="48">
        <v>-0.05</v>
      </c>
      <c r="H50" s="48">
        <v>0.28000000000000003</v>
      </c>
      <c r="I50" s="48">
        <v>0.43</v>
      </c>
      <c r="J50" s="44"/>
    </row>
    <row r="51" spans="2:10" x14ac:dyDescent="0.2">
      <c r="B51" s="44" t="s">
        <v>159</v>
      </c>
      <c r="C51" s="48">
        <v>-0.4</v>
      </c>
      <c r="D51" s="48">
        <v>-0.4</v>
      </c>
      <c r="E51" s="48">
        <v>-0.35</v>
      </c>
      <c r="F51" s="48">
        <v>-0.42</v>
      </c>
      <c r="G51" s="48">
        <v>-0.11</v>
      </c>
      <c r="H51" s="48">
        <v>0.21</v>
      </c>
      <c r="I51" s="48">
        <v>0.36</v>
      </c>
      <c r="J51" s="44"/>
    </row>
    <row r="52" spans="2:10" x14ac:dyDescent="0.2">
      <c r="B52" s="44" t="s">
        <v>160</v>
      </c>
      <c r="C52" s="48">
        <v>-0.4</v>
      </c>
      <c r="D52" s="48">
        <v>-0.4</v>
      </c>
      <c r="E52" s="48">
        <v>-0.39</v>
      </c>
      <c r="F52" s="48">
        <v>-0.42</v>
      </c>
      <c r="G52" s="48">
        <v>-0.15</v>
      </c>
      <c r="H52" s="48">
        <v>0.16</v>
      </c>
      <c r="I52" s="48">
        <v>0.28999999999999998</v>
      </c>
      <c r="J52" s="44"/>
    </row>
    <row r="53" spans="2:10" x14ac:dyDescent="0.2">
      <c r="B53" s="44" t="s">
        <v>161</v>
      </c>
      <c r="C53" s="48">
        <v>-0.4</v>
      </c>
      <c r="D53" s="48">
        <v>-0.4</v>
      </c>
      <c r="E53" s="48">
        <v>-0.4</v>
      </c>
      <c r="F53" s="48">
        <v>-0.5</v>
      </c>
      <c r="G53" s="48">
        <v>-0.23</v>
      </c>
      <c r="H53" s="48">
        <v>0.1</v>
      </c>
      <c r="I53" s="48">
        <v>0.38</v>
      </c>
      <c r="J53" s="44"/>
    </row>
    <row r="54" spans="2:10" x14ac:dyDescent="0.2">
      <c r="B54" s="44" t="s">
        <v>162</v>
      </c>
      <c r="C54" s="50" t="s">
        <v>163</v>
      </c>
      <c r="D54" s="48">
        <v>-0.4</v>
      </c>
      <c r="E54" s="48">
        <v>-0.4</v>
      </c>
      <c r="F54" s="48">
        <v>-0.59</v>
      </c>
      <c r="G54" s="48">
        <v>-0.39</v>
      </c>
      <c r="H54" s="48">
        <v>-0.06</v>
      </c>
      <c r="I54" s="48">
        <v>0.22</v>
      </c>
      <c r="J54" s="44"/>
    </row>
    <row r="55" spans="2:10" x14ac:dyDescent="0.2">
      <c r="B55" s="44" t="s">
        <v>164</v>
      </c>
      <c r="C55" s="48">
        <v>-0.39</v>
      </c>
      <c r="D55" s="48">
        <v>-0.4</v>
      </c>
      <c r="E55" s="48">
        <v>-0.4</v>
      </c>
      <c r="F55" s="48">
        <v>-0.61</v>
      </c>
      <c r="G55" s="48">
        <v>-0.51</v>
      </c>
      <c r="H55" s="48">
        <v>-0.21</v>
      </c>
      <c r="I55" s="48">
        <v>0.05</v>
      </c>
      <c r="J55" s="44"/>
    </row>
    <row r="56" spans="2:10" x14ac:dyDescent="0.2">
      <c r="B56" s="44" t="s">
        <v>165</v>
      </c>
      <c r="C56" s="48">
        <v>-0.39</v>
      </c>
      <c r="D56" s="48">
        <v>-0.4</v>
      </c>
      <c r="E56" s="48">
        <v>-0.4</v>
      </c>
      <c r="F56" s="48">
        <v>-0.57999999999999996</v>
      </c>
      <c r="G56" s="48">
        <v>-0.5</v>
      </c>
      <c r="H56" s="48">
        <v>-0.24</v>
      </c>
      <c r="I56" s="48">
        <v>0.02</v>
      </c>
      <c r="J56" s="44"/>
    </row>
    <row r="57" spans="2:10" x14ac:dyDescent="0.2">
      <c r="B57" s="44" t="s">
        <v>166</v>
      </c>
      <c r="C57" s="48">
        <v>-0.4</v>
      </c>
      <c r="D57" s="48">
        <v>-0.43</v>
      </c>
      <c r="E57" s="48">
        <v>-0.4</v>
      </c>
      <c r="F57" s="48">
        <v>-0.64</v>
      </c>
      <c r="G57" s="48">
        <v>-0.67</v>
      </c>
      <c r="H57" s="48">
        <v>-0.5</v>
      </c>
      <c r="I57" s="48">
        <v>-0.28999999999999998</v>
      </c>
      <c r="J57" s="44"/>
    </row>
    <row r="58" spans="2:10" x14ac:dyDescent="0.2">
      <c r="B58" s="44" t="s">
        <v>167</v>
      </c>
      <c r="C58" s="48">
        <v>-0.4</v>
      </c>
      <c r="D58" s="48">
        <v>-0.41</v>
      </c>
      <c r="E58" s="48">
        <v>-0.46</v>
      </c>
      <c r="F58" s="48">
        <v>-0.6</v>
      </c>
      <c r="G58" s="48">
        <v>-0.59</v>
      </c>
      <c r="H58" s="48">
        <v>-0.43</v>
      </c>
      <c r="I58" s="48">
        <v>-0.23</v>
      </c>
      <c r="J58" s="44"/>
    </row>
    <row r="59" spans="2:10" x14ac:dyDescent="0.2">
      <c r="B59" s="44" t="s">
        <v>168</v>
      </c>
      <c r="C59" s="48">
        <v>-0.43</v>
      </c>
      <c r="D59" s="48">
        <v>-0.43</v>
      </c>
      <c r="E59" s="48">
        <v>-0.49</v>
      </c>
      <c r="F59" s="48">
        <v>-0.53</v>
      </c>
      <c r="G59" s="48">
        <v>-0.51</v>
      </c>
      <c r="H59" s="48">
        <v>-0.35</v>
      </c>
      <c r="I59" s="48">
        <v>-0.16</v>
      </c>
      <c r="J59" s="44"/>
    </row>
    <row r="60" spans="2:10" x14ac:dyDescent="0.2">
      <c r="B60" s="44" t="s">
        <v>169</v>
      </c>
      <c r="C60" s="48">
        <v>-0.42</v>
      </c>
      <c r="D60" s="48">
        <v>-0.47</v>
      </c>
      <c r="E60" s="48">
        <v>-0.5</v>
      </c>
      <c r="F60" s="48">
        <v>-0.34</v>
      </c>
      <c r="G60" s="48">
        <v>-0.33</v>
      </c>
      <c r="H60" s="48">
        <v>-0.18</v>
      </c>
      <c r="I60" s="48">
        <v>0</v>
      </c>
      <c r="J60" s="44"/>
    </row>
    <row r="61" spans="2:10" x14ac:dyDescent="0.2">
      <c r="B61" s="44" t="s">
        <v>170</v>
      </c>
      <c r="C61" s="48">
        <v>-0.42</v>
      </c>
      <c r="D61" s="48">
        <v>-0.46</v>
      </c>
      <c r="E61" s="48">
        <v>-0.49</v>
      </c>
      <c r="F61" s="48">
        <v>-0.31</v>
      </c>
      <c r="G61" s="48">
        <v>-0.28000000000000003</v>
      </c>
      <c r="H61" s="48">
        <v>-0.13</v>
      </c>
      <c r="I61" s="48">
        <v>7.0000000000000007E-2</v>
      </c>
      <c r="J61" s="44"/>
    </row>
    <row r="62" spans="2:10" x14ac:dyDescent="0.2">
      <c r="B62" s="44"/>
      <c r="C62" s="44"/>
      <c r="D62" s="44"/>
      <c r="E62" s="44"/>
      <c r="F62" s="44"/>
      <c r="G62" s="44"/>
      <c r="H62" s="44"/>
      <c r="I62" s="44"/>
      <c r="J62" s="44"/>
    </row>
    <row r="63" spans="2:10" x14ac:dyDescent="0.2">
      <c r="B63" s="47" t="s">
        <v>171</v>
      </c>
      <c r="C63" s="44"/>
      <c r="D63" s="44"/>
      <c r="E63" s="44"/>
      <c r="F63" s="44"/>
      <c r="G63" s="44"/>
      <c r="H63" s="44"/>
      <c r="I63" s="44"/>
      <c r="J63" s="44"/>
    </row>
    <row r="64" spans="2:10" x14ac:dyDescent="0.2">
      <c r="B64" s="44"/>
      <c r="C64" s="44"/>
      <c r="D64" s="44"/>
      <c r="E64" s="44"/>
      <c r="F64" s="44"/>
      <c r="G64" s="44"/>
      <c r="H64" s="44"/>
      <c r="I64" s="44"/>
      <c r="J64" s="44"/>
    </row>
    <row r="65" spans="2:10" x14ac:dyDescent="0.2">
      <c r="B65" s="47" t="s">
        <v>172</v>
      </c>
      <c r="C65" s="47"/>
      <c r="D65" s="47"/>
      <c r="E65" s="44"/>
      <c r="F65" s="44"/>
      <c r="G65" s="44"/>
      <c r="H65" s="44"/>
      <c r="I65" s="44"/>
      <c r="J65" s="44"/>
    </row>
    <row r="66" spans="2:10" x14ac:dyDescent="0.2">
      <c r="B66" s="44" t="s">
        <v>173</v>
      </c>
      <c r="C66" s="44"/>
      <c r="D66" s="44"/>
      <c r="E66" s="44"/>
      <c r="F66" s="44"/>
      <c r="G66" s="44"/>
      <c r="H66" s="44"/>
      <c r="I66" s="44"/>
      <c r="J66" s="44"/>
    </row>
    <row r="67" spans="2:10" x14ac:dyDescent="0.2">
      <c r="B67" s="44" t="s">
        <v>174</v>
      </c>
      <c r="C67" s="44"/>
      <c r="D67" s="44"/>
      <c r="E67" s="44"/>
      <c r="F67" s="44"/>
      <c r="G67" s="44"/>
      <c r="H67" s="44"/>
      <c r="I67" s="44"/>
      <c r="J67" s="44"/>
    </row>
    <row r="68" spans="2:10" x14ac:dyDescent="0.2">
      <c r="B68" s="44"/>
      <c r="C68" s="44"/>
      <c r="D68" s="44"/>
      <c r="E68" s="44"/>
      <c r="F68" s="44"/>
      <c r="G68" s="44"/>
      <c r="H68" s="44"/>
      <c r="I68" s="44"/>
      <c r="J68" s="44"/>
    </row>
    <row r="69" spans="2:10" x14ac:dyDescent="0.2">
      <c r="B69" s="47" t="s">
        <v>175</v>
      </c>
      <c r="C69" s="47"/>
      <c r="D69" s="47"/>
      <c r="E69" s="44"/>
      <c r="F69" s="44"/>
      <c r="G69" s="44"/>
      <c r="H69" s="44"/>
      <c r="I69" s="44"/>
      <c r="J69" s="44"/>
    </row>
    <row r="70" spans="2:10" x14ac:dyDescent="0.2">
      <c r="B70" s="44" t="s">
        <v>176</v>
      </c>
      <c r="C70" s="44"/>
      <c r="D70" s="44"/>
      <c r="E70" s="44"/>
      <c r="F70" s="44"/>
      <c r="G70" s="44"/>
      <c r="H70" s="44"/>
      <c r="I70" s="44"/>
      <c r="J70" s="44"/>
    </row>
    <row r="71" spans="2:10" x14ac:dyDescent="0.2">
      <c r="B71" s="44" t="s">
        <v>174</v>
      </c>
      <c r="C71" s="44"/>
      <c r="D71" s="44"/>
      <c r="E71" s="44"/>
      <c r="F71" s="44"/>
      <c r="G71" s="44"/>
      <c r="H71" s="44"/>
      <c r="I71" s="44"/>
      <c r="J71" s="44"/>
    </row>
    <row r="72" spans="2:10" x14ac:dyDescent="0.2">
      <c r="B72" s="44"/>
      <c r="C72" s="44"/>
      <c r="D72" s="44"/>
      <c r="E72" s="44"/>
      <c r="F72" s="44"/>
      <c r="G72" s="44"/>
      <c r="H72" s="44"/>
      <c r="I72" s="44"/>
      <c r="J72" s="44"/>
    </row>
    <row r="73" spans="2:10" x14ac:dyDescent="0.2">
      <c r="B73" s="47" t="s">
        <v>177</v>
      </c>
      <c r="C73" s="47"/>
      <c r="D73" s="47"/>
      <c r="E73" s="44"/>
      <c r="F73" s="44"/>
      <c r="G73" s="44"/>
      <c r="H73" s="44"/>
      <c r="I73" s="44"/>
      <c r="J73" s="44"/>
    </row>
    <row r="74" spans="2:10" x14ac:dyDescent="0.2">
      <c r="B74" s="44" t="s">
        <v>178</v>
      </c>
      <c r="C74" s="44"/>
      <c r="D74" s="44"/>
      <c r="E74" s="44"/>
      <c r="F74" s="44"/>
      <c r="G74" s="44"/>
      <c r="H74" s="44"/>
      <c r="I74" s="44"/>
      <c r="J74" s="44"/>
    </row>
    <row r="75" spans="2:10" x14ac:dyDescent="0.2">
      <c r="B75" s="44" t="s">
        <v>174</v>
      </c>
      <c r="C75" s="44"/>
      <c r="D75" s="44"/>
      <c r="E75" s="44"/>
      <c r="F75" s="44"/>
      <c r="G75" s="44"/>
      <c r="H75" s="44"/>
      <c r="I75" s="44"/>
      <c r="J75" s="44"/>
    </row>
    <row r="76" spans="2:10" x14ac:dyDescent="0.2">
      <c r="B76" s="44"/>
      <c r="C76" s="44"/>
      <c r="D76" s="44"/>
      <c r="E76" s="44"/>
      <c r="F76" s="44"/>
      <c r="G76" s="44"/>
      <c r="H76" s="44"/>
      <c r="I76" s="44"/>
      <c r="J76" s="44"/>
    </row>
    <row r="77" spans="2:10" x14ac:dyDescent="0.2">
      <c r="B77" s="47" t="s">
        <v>179</v>
      </c>
      <c r="C77" s="47"/>
      <c r="D77" s="47"/>
      <c r="E77" s="47"/>
      <c r="F77" s="44"/>
      <c r="G77" s="44"/>
      <c r="H77" s="44"/>
      <c r="I77" s="44"/>
      <c r="J77" s="44"/>
    </row>
    <row r="78" spans="2:10" x14ac:dyDescent="0.2">
      <c r="B78" s="44" t="s">
        <v>180</v>
      </c>
      <c r="C78" s="44"/>
      <c r="D78" s="44"/>
      <c r="E78" s="44"/>
      <c r="F78" s="44"/>
      <c r="G78" s="44"/>
      <c r="H78" s="44"/>
      <c r="I78" s="44"/>
      <c r="J78" s="44"/>
    </row>
    <row r="79" spans="2:10" x14ac:dyDescent="0.2">
      <c r="B79" s="44" t="s">
        <v>174</v>
      </c>
      <c r="C79" s="44"/>
      <c r="D79" s="44"/>
      <c r="E79" s="44"/>
      <c r="F79" s="44"/>
      <c r="G79" s="44"/>
      <c r="H79" s="44"/>
      <c r="I79" s="44"/>
      <c r="J79" s="44"/>
    </row>
    <row r="80" spans="2:10" x14ac:dyDescent="0.2">
      <c r="B80" s="44"/>
      <c r="C80" s="44"/>
      <c r="D80" s="44"/>
      <c r="E80" s="44"/>
      <c r="F80" s="44"/>
      <c r="G80" s="44"/>
      <c r="H80" s="44"/>
      <c r="I80" s="44"/>
      <c r="J80" s="44"/>
    </row>
    <row r="81" spans="1:10" x14ac:dyDescent="0.2">
      <c r="B81" s="47" t="s">
        <v>181</v>
      </c>
      <c r="C81" s="47"/>
      <c r="D81" s="47"/>
      <c r="E81" s="47"/>
      <c r="F81" s="44"/>
      <c r="G81" s="44"/>
      <c r="H81" s="44"/>
      <c r="I81" s="44"/>
      <c r="J81" s="44"/>
    </row>
    <row r="82" spans="1:10" x14ac:dyDescent="0.2">
      <c r="B82" s="44" t="s">
        <v>182</v>
      </c>
      <c r="C82" s="44"/>
      <c r="D82" s="44"/>
      <c r="E82" s="44"/>
      <c r="F82" s="44"/>
      <c r="G82" s="44"/>
      <c r="H82" s="44"/>
      <c r="I82" s="44"/>
      <c r="J82" s="44"/>
    </row>
    <row r="83" spans="1:10" x14ac:dyDescent="0.2">
      <c r="B83" s="44" t="s">
        <v>174</v>
      </c>
      <c r="C83" s="44"/>
      <c r="D83" s="44"/>
      <c r="E83" s="44"/>
      <c r="F83" s="44"/>
      <c r="G83" s="44"/>
      <c r="H83" s="44"/>
      <c r="I83" s="44"/>
      <c r="J83" s="44"/>
    </row>
    <row r="84" spans="1:10" x14ac:dyDescent="0.2">
      <c r="B84" s="44"/>
      <c r="C84" s="44"/>
      <c r="D84" s="44"/>
      <c r="E84" s="44"/>
      <c r="F84" s="44"/>
      <c r="G84" s="44"/>
      <c r="H84" s="44"/>
      <c r="I84" s="44"/>
      <c r="J84" s="44"/>
    </row>
    <row r="85" spans="1:10" x14ac:dyDescent="0.2">
      <c r="B85" s="47" t="s">
        <v>183</v>
      </c>
      <c r="C85" s="47"/>
      <c r="D85" s="47"/>
      <c r="E85" s="47"/>
      <c r="F85" s="44"/>
      <c r="G85" s="44"/>
      <c r="H85" s="44"/>
      <c r="I85" s="44"/>
      <c r="J85" s="44"/>
    </row>
    <row r="86" spans="1:10" x14ac:dyDescent="0.2">
      <c r="B86" s="44" t="s">
        <v>184</v>
      </c>
      <c r="C86" s="44"/>
      <c r="D86" s="44"/>
      <c r="E86" s="44"/>
      <c r="F86" s="44"/>
      <c r="G86" s="44"/>
      <c r="H86" s="44"/>
      <c r="I86" s="44"/>
      <c r="J86" s="44"/>
    </row>
    <row r="87" spans="1:10" x14ac:dyDescent="0.2">
      <c r="B87" s="44" t="s">
        <v>174</v>
      </c>
      <c r="C87" s="44"/>
      <c r="D87" s="44"/>
      <c r="E87" s="44"/>
      <c r="F87" s="44"/>
      <c r="G87" s="44"/>
      <c r="H87" s="44"/>
      <c r="I87" s="44"/>
      <c r="J87" s="44"/>
    </row>
    <row r="88" spans="1:10" x14ac:dyDescent="0.2">
      <c r="B88" s="44"/>
      <c r="C88" s="44"/>
      <c r="D88" s="44"/>
      <c r="E88" s="44"/>
      <c r="F88" s="44"/>
      <c r="G88" s="44"/>
      <c r="H88" s="44"/>
      <c r="I88" s="44"/>
      <c r="J88" s="44"/>
    </row>
    <row r="89" spans="1:10" x14ac:dyDescent="0.2">
      <c r="B89" s="47" t="s">
        <v>185</v>
      </c>
      <c r="C89" s="47"/>
      <c r="D89" s="47"/>
      <c r="E89" s="47"/>
      <c r="F89" s="44"/>
      <c r="G89" s="44"/>
      <c r="H89" s="44"/>
      <c r="I89" s="44"/>
      <c r="J89" s="44"/>
    </row>
    <row r="90" spans="1:10" x14ac:dyDescent="0.2">
      <c r="B90" s="44" t="s">
        <v>186</v>
      </c>
      <c r="C90" s="44"/>
      <c r="D90" s="44"/>
      <c r="E90" s="44"/>
      <c r="F90" s="44"/>
      <c r="G90" s="44"/>
      <c r="H90" s="44"/>
      <c r="I90" s="44"/>
      <c r="J90" s="44"/>
    </row>
    <row r="91" spans="1:10" x14ac:dyDescent="0.2">
      <c r="B91" s="44" t="s">
        <v>174</v>
      </c>
      <c r="C91" s="44"/>
      <c r="D91" s="44"/>
      <c r="E91" s="44"/>
      <c r="F91" s="44"/>
      <c r="G91" s="44"/>
      <c r="H91" s="44"/>
      <c r="I91" s="44"/>
      <c r="J91" s="44"/>
    </row>
    <row r="93" spans="1:10" x14ac:dyDescent="0.2">
      <c r="A93" s="12" t="s">
        <v>4</v>
      </c>
      <c r="B93" s="1" t="s">
        <v>188</v>
      </c>
    </row>
    <row r="95" spans="1:10" x14ac:dyDescent="0.2">
      <c r="A95" s="12" t="s">
        <v>5</v>
      </c>
      <c r="C95" s="4" t="s">
        <v>189</v>
      </c>
      <c r="D95" s="4" t="s">
        <v>190</v>
      </c>
      <c r="E95" s="4" t="s">
        <v>191</v>
      </c>
      <c r="F95" s="4" t="s">
        <v>192</v>
      </c>
      <c r="G95" s="4" t="s">
        <v>193</v>
      </c>
      <c r="H95" s="4" t="s">
        <v>194</v>
      </c>
      <c r="I95" s="4" t="s">
        <v>195</v>
      </c>
    </row>
    <row r="96" spans="1:10" x14ac:dyDescent="0.2">
      <c r="B96" s="44" t="s">
        <v>158</v>
      </c>
      <c r="C96" s="48">
        <v>-0.45</v>
      </c>
      <c r="D96" s="48">
        <v>-0.44</v>
      </c>
      <c r="E96" s="48">
        <v>-0.35</v>
      </c>
      <c r="F96" s="48">
        <v>-0.39</v>
      </c>
      <c r="G96" s="48">
        <v>-0.05</v>
      </c>
      <c r="H96" s="48">
        <v>0.28000000000000003</v>
      </c>
      <c r="I96" s="48">
        <v>0.43</v>
      </c>
    </row>
    <row r="97" spans="2:9" x14ac:dyDescent="0.2">
      <c r="B97" s="44" t="s">
        <v>170</v>
      </c>
      <c r="C97" s="48">
        <v>-0.42</v>
      </c>
      <c r="D97" s="48">
        <v>-0.46</v>
      </c>
      <c r="E97" s="48">
        <v>-0.49</v>
      </c>
      <c r="F97" s="48">
        <v>-0.31</v>
      </c>
      <c r="G97" s="48">
        <v>-0.28000000000000003</v>
      </c>
      <c r="H97" s="48">
        <v>-0.13</v>
      </c>
      <c r="I97" s="48">
        <v>7.0000000000000007E-2</v>
      </c>
    </row>
    <row r="119" spans="1:11" x14ac:dyDescent="0.2">
      <c r="A119" s="12" t="s">
        <v>6</v>
      </c>
      <c r="B119" s="168" t="s">
        <v>801</v>
      </c>
      <c r="C119" s="169"/>
      <c r="D119" s="169"/>
      <c r="E119" s="169"/>
      <c r="F119" s="169"/>
      <c r="G119" s="169"/>
      <c r="H119" s="169"/>
      <c r="I119" s="169"/>
      <c r="J119" s="169"/>
      <c r="K119" s="169"/>
    </row>
    <row r="120" spans="1:11" x14ac:dyDescent="0.2">
      <c r="B120" s="168"/>
      <c r="C120" s="169"/>
      <c r="D120" s="169"/>
      <c r="E120" s="169"/>
      <c r="F120" s="169"/>
      <c r="G120" s="169"/>
      <c r="H120" s="169"/>
      <c r="I120" s="169"/>
      <c r="J120" s="169"/>
      <c r="K120" s="169"/>
    </row>
    <row r="121" spans="1:11" x14ac:dyDescent="0.2">
      <c r="B121" s="168"/>
      <c r="C121" s="169"/>
      <c r="D121" s="169"/>
      <c r="E121" s="169"/>
      <c r="F121" s="169"/>
      <c r="G121" s="169"/>
      <c r="H121" s="169"/>
      <c r="I121" s="169"/>
      <c r="J121" s="169"/>
      <c r="K121" s="169"/>
    </row>
    <row r="122" spans="1:11" ht="16" customHeight="1" x14ac:dyDescent="0.2">
      <c r="A122" s="12" t="s">
        <v>12</v>
      </c>
      <c r="B122" s="168" t="s">
        <v>196</v>
      </c>
      <c r="C122" s="169"/>
      <c r="D122" s="169"/>
      <c r="E122" s="169"/>
      <c r="F122" s="169"/>
      <c r="G122" s="169"/>
      <c r="H122" s="169"/>
      <c r="I122" s="169"/>
      <c r="J122" s="169"/>
      <c r="K122" s="169"/>
    </row>
    <row r="123" spans="1:11" x14ac:dyDescent="0.2">
      <c r="B123" s="168"/>
      <c r="C123" s="169"/>
      <c r="D123" s="169"/>
      <c r="E123" s="169"/>
      <c r="F123" s="169"/>
      <c r="G123" s="169"/>
      <c r="H123" s="169"/>
      <c r="I123" s="169"/>
      <c r="J123" s="169"/>
      <c r="K123" s="169"/>
    </row>
    <row r="124" spans="1:11" x14ac:dyDescent="0.2">
      <c r="B124" s="168"/>
      <c r="C124" s="169"/>
      <c r="D124" s="169"/>
      <c r="E124" s="169"/>
      <c r="F124" s="169"/>
      <c r="G124" s="169"/>
      <c r="H124" s="169"/>
      <c r="I124" s="169"/>
      <c r="J124" s="169"/>
      <c r="K124" s="169"/>
    </row>
    <row r="127" spans="1:11" x14ac:dyDescent="0.2">
      <c r="A127" s="11">
        <v>5</v>
      </c>
      <c r="B127" s="5"/>
      <c r="C127" s="5"/>
      <c r="D127" s="5"/>
      <c r="E127" s="5"/>
      <c r="F127" s="5"/>
      <c r="G127" s="5"/>
      <c r="H127" s="5"/>
    </row>
    <row r="129" spans="1:9" x14ac:dyDescent="0.2">
      <c r="A129" s="12" t="s">
        <v>4</v>
      </c>
      <c r="B129" s="1" t="s">
        <v>237</v>
      </c>
    </row>
    <row r="130" spans="1:9" x14ac:dyDescent="0.2">
      <c r="A130" s="68"/>
      <c r="B130" s="2" t="s">
        <v>229</v>
      </c>
    </row>
    <row r="131" spans="1:9" x14ac:dyDescent="0.2">
      <c r="B131" s="1" t="s">
        <v>233</v>
      </c>
      <c r="D131" s="16">
        <f>100/97.087 -1</f>
        <v>3.0004017015666351E-2</v>
      </c>
    </row>
    <row r="133" spans="1:9" x14ac:dyDescent="0.2">
      <c r="B133" s="2" t="s">
        <v>230</v>
      </c>
    </row>
    <row r="134" spans="1:9" x14ac:dyDescent="0.2">
      <c r="B134" s="1" t="s">
        <v>234</v>
      </c>
      <c r="D134" s="16">
        <f>(100/93.351) ^ (1/2) -1</f>
        <v>3.5000388254593506E-2</v>
      </c>
    </row>
    <row r="136" spans="1:9" x14ac:dyDescent="0.2">
      <c r="B136" s="2" t="s">
        <v>231</v>
      </c>
    </row>
    <row r="137" spans="1:9" x14ac:dyDescent="0.2">
      <c r="B137" s="1" t="s">
        <v>235</v>
      </c>
      <c r="D137" s="16">
        <f>(100/89.157)^(1/3)-1</f>
        <v>3.8998333812706454E-2</v>
      </c>
    </row>
    <row r="139" spans="1:9" x14ac:dyDescent="0.2">
      <c r="B139" s="2" t="s">
        <v>232</v>
      </c>
    </row>
    <row r="140" spans="1:9" x14ac:dyDescent="0.2">
      <c r="B140" s="1" t="s">
        <v>236</v>
      </c>
      <c r="D140" s="16">
        <f>(100/84.826)^(1/4)-1</f>
        <v>4.2000081558718705E-2</v>
      </c>
    </row>
    <row r="142" spans="1:9" x14ac:dyDescent="0.2">
      <c r="A142" s="12" t="s">
        <v>5</v>
      </c>
      <c r="B142" s="1" t="s">
        <v>238</v>
      </c>
      <c r="I142" s="66">
        <f xml:space="preserve"> 3/ (1 + 0.03) ^1 + 3/ (1 + 0.035) ^2 + 3/ (1 + 0.039) ^3 + 3/ (1 + 0.042) ^4 + 100 / (1 + 0.042) ^4</f>
        <v>95.758657946995498</v>
      </c>
    </row>
    <row r="144" spans="1:9" x14ac:dyDescent="0.2">
      <c r="A144" s="12" t="s">
        <v>6</v>
      </c>
    </row>
    <row r="145" spans="1:8" x14ac:dyDescent="0.2">
      <c r="B145" s="1" t="s">
        <v>239</v>
      </c>
    </row>
    <row r="147" spans="1:8" x14ac:dyDescent="0.2">
      <c r="B147" s="1" t="s">
        <v>240</v>
      </c>
    </row>
    <row r="149" spans="1:8" x14ac:dyDescent="0.2">
      <c r="B149" s="1" t="s">
        <v>242</v>
      </c>
      <c r="C149" s="1">
        <f xml:space="preserve"> 3/ (1 + C151) ^1 + 3/ (1 + C151) ^2 + 3/ (1 + C151) ^3 + 3/ (1 + C151) ^4 + 100 / (1 + C151) ^4</f>
        <v>95.760560389949134</v>
      </c>
    </row>
    <row r="150" spans="1:8" x14ac:dyDescent="0.2">
      <c r="B150" s="1" t="s">
        <v>243</v>
      </c>
      <c r="C150" s="67">
        <f>I142</f>
        <v>95.758657946995498</v>
      </c>
    </row>
    <row r="151" spans="1:8" x14ac:dyDescent="0.2">
      <c r="B151" s="1" t="s">
        <v>241</v>
      </c>
      <c r="C151" s="57">
        <v>4.1726801011019478E-2</v>
      </c>
    </row>
    <row r="152" spans="1:8" x14ac:dyDescent="0.2">
      <c r="C152" s="57"/>
    </row>
    <row r="153" spans="1:8" x14ac:dyDescent="0.2">
      <c r="B153" s="1" t="s">
        <v>244</v>
      </c>
    </row>
    <row r="157" spans="1:8" x14ac:dyDescent="0.2">
      <c r="A157" s="11">
        <v>6</v>
      </c>
      <c r="B157" s="5"/>
      <c r="C157" s="5"/>
      <c r="D157" s="5"/>
      <c r="E157" s="5"/>
      <c r="F157" s="5"/>
      <c r="G157" s="5"/>
      <c r="H157" s="5"/>
    </row>
    <row r="159" spans="1:8" x14ac:dyDescent="0.2">
      <c r="A159" s="12" t="s">
        <v>4</v>
      </c>
      <c r="B159" s="2" t="s">
        <v>245</v>
      </c>
    </row>
    <row r="160" spans="1:8" x14ac:dyDescent="0.2">
      <c r="B160" s="1" t="s">
        <v>246</v>
      </c>
      <c r="D160" s="1" t="s">
        <v>247</v>
      </c>
    </row>
    <row r="162" spans="1:8" x14ac:dyDescent="0.2">
      <c r="B162" s="2" t="s">
        <v>248</v>
      </c>
    </row>
    <row r="163" spans="1:8" x14ac:dyDescent="0.2">
      <c r="B163" s="1" t="s">
        <v>249</v>
      </c>
      <c r="E163" s="57">
        <f xml:space="preserve">  (105 / (96.428 - 5 / (1 + 0.06) ^ 1))^(1/2)-1</f>
        <v>7.0000277680970724E-2</v>
      </c>
    </row>
    <row r="165" spans="1:8" x14ac:dyDescent="0.2">
      <c r="A165" s="12" t="s">
        <v>5</v>
      </c>
      <c r="B165" s="1" t="s">
        <v>250</v>
      </c>
      <c r="C165" s="1">
        <f xml:space="preserve"> 100 / (1+E163) ^ 2</f>
        <v>87.343827493261443</v>
      </c>
    </row>
    <row r="169" spans="1:8" x14ac:dyDescent="0.2">
      <c r="A169" s="11">
        <v>7</v>
      </c>
      <c r="B169" s="5"/>
      <c r="C169" s="5"/>
      <c r="D169" s="5"/>
      <c r="E169" s="5"/>
      <c r="F169" s="5"/>
      <c r="G169" s="5"/>
      <c r="H169" s="5"/>
    </row>
    <row r="171" spans="1:8" x14ac:dyDescent="0.2">
      <c r="A171" s="12" t="s">
        <v>4</v>
      </c>
      <c r="B171" s="1" t="s">
        <v>129</v>
      </c>
      <c r="C171" s="1">
        <v>6</v>
      </c>
    </row>
    <row r="172" spans="1:8" x14ac:dyDescent="0.2">
      <c r="B172" s="1" t="s">
        <v>711</v>
      </c>
      <c r="C172" s="1">
        <f>C171*2</f>
        <v>12</v>
      </c>
    </row>
    <row r="173" spans="1:8" x14ac:dyDescent="0.2">
      <c r="B173" s="1" t="s">
        <v>712</v>
      </c>
      <c r="C173" s="1">
        <f>0.05</f>
        <v>0.05</v>
      </c>
    </row>
    <row r="174" spans="1:8" x14ac:dyDescent="0.2">
      <c r="B174" s="1" t="s">
        <v>713</v>
      </c>
      <c r="C174" s="1">
        <f>C173/2*C175</f>
        <v>30</v>
      </c>
    </row>
    <row r="175" spans="1:8" x14ac:dyDescent="0.2">
      <c r="B175" s="1" t="s">
        <v>714</v>
      </c>
      <c r="C175" s="1">
        <v>1200</v>
      </c>
    </row>
    <row r="176" spans="1:8" x14ac:dyDescent="0.2">
      <c r="B176" s="1" t="s">
        <v>241</v>
      </c>
      <c r="C176" s="1">
        <v>0.08</v>
      </c>
    </row>
    <row r="178" spans="1:16" x14ac:dyDescent="0.2">
      <c r="B178" s="1" t="s">
        <v>715</v>
      </c>
      <c r="G178" s="1">
        <f xml:space="preserve"> 1.08 ^ 0.5 -1</f>
        <v>3.9230484541326494E-2</v>
      </c>
    </row>
    <row r="180" spans="1:16" x14ac:dyDescent="0.2">
      <c r="B180" s="1" t="s">
        <v>722</v>
      </c>
    </row>
    <row r="181" spans="1:16" x14ac:dyDescent="0.2">
      <c r="B181" s="1" t="s">
        <v>723</v>
      </c>
      <c r="F181" s="1">
        <f>30/0.03923*(1-1/(1+0.03923)^12)+1200/(1+0.03923)^12</f>
        <v>1039.0220941982454</v>
      </c>
    </row>
    <row r="183" spans="1:16" x14ac:dyDescent="0.2">
      <c r="B183" s="157" t="s">
        <v>716</v>
      </c>
      <c r="C183" s="69"/>
      <c r="D183" s="153"/>
      <c r="E183" s="153"/>
      <c r="F183" s="153"/>
      <c r="G183" s="153"/>
      <c r="H183" s="153"/>
      <c r="I183" s="153"/>
      <c r="J183" s="153"/>
      <c r="K183" s="153"/>
      <c r="L183" s="153"/>
      <c r="M183" s="153"/>
      <c r="N183" s="153"/>
      <c r="O183" s="153"/>
      <c r="P183" s="153"/>
    </row>
    <row r="184" spans="1:16" x14ac:dyDescent="0.2">
      <c r="B184" s="152"/>
      <c r="C184" s="69"/>
      <c r="D184" s="153"/>
      <c r="E184" s="153"/>
      <c r="F184" s="153"/>
      <c r="G184" s="153"/>
      <c r="H184" s="153"/>
      <c r="I184" s="153"/>
      <c r="J184" s="153"/>
      <c r="K184" s="153"/>
      <c r="L184" s="153"/>
      <c r="M184" s="153"/>
      <c r="N184" s="153"/>
      <c r="O184" s="153"/>
      <c r="P184" s="153"/>
    </row>
    <row r="185" spans="1:16" x14ac:dyDescent="0.2">
      <c r="B185" s="152"/>
      <c r="C185" s="155" t="s">
        <v>717</v>
      </c>
      <c r="D185" s="156"/>
      <c r="E185" s="156">
        <v>1</v>
      </c>
      <c r="F185" s="156">
        <v>2</v>
      </c>
      <c r="G185" s="156">
        <v>3</v>
      </c>
      <c r="H185" s="156">
        <v>4</v>
      </c>
      <c r="I185" s="156">
        <v>5</v>
      </c>
      <c r="J185" s="156">
        <v>6</v>
      </c>
      <c r="K185" s="156">
        <v>7</v>
      </c>
      <c r="L185" s="156">
        <v>8</v>
      </c>
      <c r="M185" s="156">
        <v>9</v>
      </c>
      <c r="N185" s="156">
        <v>10</v>
      </c>
      <c r="O185" s="156">
        <v>11</v>
      </c>
      <c r="P185" s="156">
        <v>12</v>
      </c>
    </row>
    <row r="186" spans="1:16" x14ac:dyDescent="0.2">
      <c r="B186" s="152"/>
      <c r="C186" s="69" t="s">
        <v>718</v>
      </c>
      <c r="D186" s="153"/>
      <c r="E186" s="153">
        <v>30</v>
      </c>
      <c r="F186" s="153">
        <v>30</v>
      </c>
      <c r="G186" s="153">
        <v>30</v>
      </c>
      <c r="H186" s="153">
        <v>30</v>
      </c>
      <c r="I186" s="153">
        <v>30</v>
      </c>
      <c r="J186" s="153">
        <v>30</v>
      </c>
      <c r="K186" s="153">
        <v>30</v>
      </c>
      <c r="L186" s="153">
        <v>30</v>
      </c>
      <c r="M186" s="153">
        <v>30</v>
      </c>
      <c r="N186" s="153">
        <v>30</v>
      </c>
      <c r="O186" s="153">
        <v>30</v>
      </c>
      <c r="P186" s="153">
        <v>1230</v>
      </c>
    </row>
    <row r="187" spans="1:16" x14ac:dyDescent="0.2">
      <c r="B187" s="152"/>
      <c r="C187" s="69" t="s">
        <v>719</v>
      </c>
      <c r="D187" s="153"/>
      <c r="E187" s="153">
        <f>(1+$G$178)^E185</f>
        <v>1.0392304845413265</v>
      </c>
      <c r="F187" s="153">
        <f t="shared" ref="F187:P187" si="0">(1+$G$178)^F185</f>
        <v>1.0800000000000003</v>
      </c>
      <c r="G187" s="153">
        <f t="shared" si="0"/>
        <v>1.122368923304633</v>
      </c>
      <c r="H187" s="153">
        <f t="shared" si="0"/>
        <v>1.1664000000000005</v>
      </c>
      <c r="I187" s="153">
        <f t="shared" si="0"/>
        <v>1.2121584371690037</v>
      </c>
      <c r="J187" s="153">
        <f t="shared" si="0"/>
        <v>1.2597120000000008</v>
      </c>
      <c r="K187" s="153">
        <f t="shared" si="0"/>
        <v>1.3091311121425246</v>
      </c>
      <c r="L187" s="153">
        <f t="shared" si="0"/>
        <v>1.3604889600000012</v>
      </c>
      <c r="M187" s="153">
        <f t="shared" si="0"/>
        <v>1.4138616011139267</v>
      </c>
      <c r="N187" s="153">
        <f t="shared" si="0"/>
        <v>1.4693280768000017</v>
      </c>
      <c r="O187" s="153">
        <f t="shared" si="0"/>
        <v>1.5269705292030413</v>
      </c>
      <c r="P187" s="153">
        <f t="shared" si="0"/>
        <v>1.5868743229440021</v>
      </c>
    </row>
    <row r="188" spans="1:16" x14ac:dyDescent="0.2">
      <c r="B188" s="152"/>
      <c r="C188" s="69" t="s">
        <v>720</v>
      </c>
      <c r="D188" s="153"/>
      <c r="E188" s="153">
        <f>E186/E187</f>
        <v>28.867513459481284</v>
      </c>
      <c r="F188" s="153">
        <f t="shared" ref="F188:P188" si="1">F186/F187</f>
        <v>27.777777777777771</v>
      </c>
      <c r="G188" s="153">
        <f t="shared" si="1"/>
        <v>26.72917912914933</v>
      </c>
      <c r="H188" s="153">
        <f t="shared" si="1"/>
        <v>25.720164609053487</v>
      </c>
      <c r="I188" s="153">
        <f t="shared" si="1"/>
        <v>24.749239934397526</v>
      </c>
      <c r="J188" s="153">
        <f t="shared" si="1"/>
        <v>23.814967230605074</v>
      </c>
      <c r="K188" s="153">
        <f t="shared" si="1"/>
        <v>22.91596290221992</v>
      </c>
      <c r="L188" s="153">
        <f t="shared" si="1"/>
        <v>22.050895583893585</v>
      </c>
      <c r="M188" s="153">
        <f t="shared" si="1"/>
        <v>21.218484168722146</v>
      </c>
      <c r="N188" s="153">
        <f t="shared" si="1"/>
        <v>20.417495911012573</v>
      </c>
      <c r="O188" s="153">
        <f t="shared" si="1"/>
        <v>19.646744600668647</v>
      </c>
      <c r="P188" s="153">
        <f t="shared" si="1"/>
        <v>775.10864106621784</v>
      </c>
    </row>
    <row r="189" spans="1:16" x14ac:dyDescent="0.2">
      <c r="B189" s="152"/>
      <c r="C189" s="69" t="s">
        <v>721</v>
      </c>
      <c r="D189" s="154">
        <f>SUM(E188:P188)</f>
        <v>1039.0170663731992</v>
      </c>
      <c r="E189" s="153"/>
      <c r="F189" s="153"/>
      <c r="G189" s="153"/>
      <c r="H189" s="153"/>
      <c r="I189" s="153"/>
      <c r="J189" s="153"/>
      <c r="K189" s="153"/>
      <c r="L189" s="153"/>
      <c r="M189" s="153"/>
      <c r="N189" s="153"/>
      <c r="O189" s="153"/>
      <c r="P189" s="153"/>
    </row>
    <row r="192" spans="1:16" x14ac:dyDescent="0.2">
      <c r="A192" s="12" t="s">
        <v>5</v>
      </c>
      <c r="B192" s="1" t="s">
        <v>724</v>
      </c>
    </row>
    <row r="194" spans="1:10" x14ac:dyDescent="0.2">
      <c r="B194" s="1" t="s">
        <v>726</v>
      </c>
      <c r="C194" s="158">
        <v>15000000</v>
      </c>
    </row>
    <row r="195" spans="1:10" x14ac:dyDescent="0.2">
      <c r="B195" s="158" t="s">
        <v>725</v>
      </c>
      <c r="C195" s="158">
        <f>C194/D189</f>
        <v>14436.721479810831</v>
      </c>
    </row>
    <row r="198" spans="1:10" x14ac:dyDescent="0.2">
      <c r="B198" s="1" t="s">
        <v>727</v>
      </c>
      <c r="C198" s="158">
        <f>C195*P186</f>
        <v>17757167.420167323</v>
      </c>
    </row>
    <row r="200" spans="1:10" x14ac:dyDescent="0.2">
      <c r="A200" s="12" t="s">
        <v>6</v>
      </c>
      <c r="B200" s="156"/>
      <c r="C200" s="156"/>
      <c r="D200" s="156">
        <v>0</v>
      </c>
      <c r="E200" s="156">
        <v>1</v>
      </c>
      <c r="F200" s="156">
        <v>2</v>
      </c>
      <c r="G200" s="156">
        <v>3</v>
      </c>
      <c r="H200" s="156">
        <v>4</v>
      </c>
      <c r="I200" s="156">
        <v>5</v>
      </c>
      <c r="J200" s="156">
        <v>6</v>
      </c>
    </row>
    <row r="201" spans="1:10" x14ac:dyDescent="0.2">
      <c r="B201" s="69" t="s">
        <v>728</v>
      </c>
      <c r="C201" s="153"/>
      <c r="D201" s="153"/>
      <c r="E201" s="153">
        <v>-3</v>
      </c>
      <c r="F201" s="153">
        <v>-3</v>
      </c>
      <c r="G201" s="153">
        <v>-3</v>
      </c>
      <c r="H201" s="153">
        <v>-3</v>
      </c>
      <c r="I201" s="153">
        <v>-3</v>
      </c>
      <c r="J201" s="153">
        <f>0.6*28+0.4*18</f>
        <v>24</v>
      </c>
    </row>
    <row r="202" spans="1:10" x14ac:dyDescent="0.2">
      <c r="B202" s="69" t="s">
        <v>729</v>
      </c>
      <c r="C202" s="153">
        <v>0.12</v>
      </c>
      <c r="D202" s="153"/>
      <c r="E202" s="153">
        <f>1/(1+$C$202)^E200</f>
        <v>0.89285714285714279</v>
      </c>
      <c r="F202" s="153">
        <f t="shared" ref="F202:J202" si="2">1/(1+$C$202)^F200</f>
        <v>0.79719387755102034</v>
      </c>
      <c r="G202" s="153">
        <f t="shared" si="2"/>
        <v>0.71178024781341087</v>
      </c>
      <c r="H202" s="153">
        <f t="shared" si="2"/>
        <v>0.63551807840483121</v>
      </c>
      <c r="I202" s="153">
        <f t="shared" si="2"/>
        <v>0.56742685571859919</v>
      </c>
      <c r="J202" s="153">
        <f t="shared" si="2"/>
        <v>0.50663112117732068</v>
      </c>
    </row>
    <row r="203" spans="1:10" x14ac:dyDescent="0.2">
      <c r="B203" s="69" t="s">
        <v>730</v>
      </c>
      <c r="C203" s="153"/>
      <c r="D203" s="153"/>
      <c r="E203" s="153">
        <f>E201*E202</f>
        <v>-2.6785714285714284</v>
      </c>
      <c r="F203" s="153">
        <f t="shared" ref="F203:J203" si="3">F201*F202</f>
        <v>-2.391581632653061</v>
      </c>
      <c r="G203" s="153">
        <f t="shared" si="3"/>
        <v>-2.1353407434402327</v>
      </c>
      <c r="H203" s="153">
        <f t="shared" si="3"/>
        <v>-1.9065542352144935</v>
      </c>
      <c r="I203" s="153">
        <f t="shared" si="3"/>
        <v>-1.7022805671557975</v>
      </c>
      <c r="J203" s="153">
        <f t="shared" si="3"/>
        <v>12.159146908255696</v>
      </c>
    </row>
    <row r="205" spans="1:10" x14ac:dyDescent="0.2">
      <c r="C205" s="1" t="s">
        <v>22</v>
      </c>
      <c r="D205" s="1">
        <f>SUM(D203:J203)</f>
        <v>1.3448183012206822</v>
      </c>
    </row>
    <row r="207" spans="1:10" x14ac:dyDescent="0.2">
      <c r="B207" s="1" t="s">
        <v>732</v>
      </c>
    </row>
    <row r="209" spans="1:11" x14ac:dyDescent="0.2">
      <c r="A209" s="12" t="s">
        <v>12</v>
      </c>
      <c r="B209" s="1" t="s">
        <v>731</v>
      </c>
    </row>
    <row r="210" spans="1:11" x14ac:dyDescent="0.2">
      <c r="B210" s="1" t="s">
        <v>733</v>
      </c>
    </row>
    <row r="213" spans="1:11" x14ac:dyDescent="0.2">
      <c r="A213" s="11">
        <v>8</v>
      </c>
      <c r="B213" s="5"/>
      <c r="C213" s="5"/>
      <c r="D213" s="5"/>
      <c r="E213" s="5"/>
      <c r="F213" s="5"/>
      <c r="G213" s="5"/>
      <c r="H213" s="5"/>
    </row>
    <row r="215" spans="1:11" x14ac:dyDescent="0.2">
      <c r="B215" s="168" t="s">
        <v>145</v>
      </c>
      <c r="C215" s="169"/>
      <c r="D215" s="169"/>
      <c r="E215" s="169"/>
      <c r="F215" s="169"/>
      <c r="G215" s="169"/>
      <c r="H215" s="169"/>
      <c r="I215" s="169"/>
      <c r="J215" s="169"/>
      <c r="K215" s="169"/>
    </row>
    <row r="216" spans="1:11" x14ac:dyDescent="0.2">
      <c r="B216" s="168"/>
      <c r="C216" s="169"/>
      <c r="D216" s="169"/>
      <c r="E216" s="169"/>
      <c r="F216" s="169"/>
      <c r="G216" s="169"/>
      <c r="H216" s="169"/>
      <c r="I216" s="169"/>
      <c r="J216" s="169"/>
      <c r="K216" s="169"/>
    </row>
    <row r="217" spans="1:11" x14ac:dyDescent="0.2">
      <c r="B217" s="17"/>
      <c r="C217" s="17"/>
      <c r="D217" s="17"/>
      <c r="E217" s="17"/>
      <c r="F217" s="17"/>
      <c r="G217" s="17"/>
      <c r="H217" s="17"/>
      <c r="I217" s="17"/>
      <c r="J217" s="17"/>
      <c r="K217" s="17"/>
    </row>
    <row r="218" spans="1:11" x14ac:dyDescent="0.2">
      <c r="C218" s="4"/>
      <c r="D218" s="4"/>
      <c r="E218" s="177" t="s">
        <v>49</v>
      </c>
      <c r="F218" s="177"/>
      <c r="G218" s="177"/>
      <c r="H218" s="4"/>
      <c r="I218" s="4"/>
      <c r="J218" s="4"/>
      <c r="K218" s="4"/>
    </row>
    <row r="219" spans="1:11" x14ac:dyDescent="0.2">
      <c r="C219" s="4" t="s">
        <v>135</v>
      </c>
      <c r="D219" s="4" t="s">
        <v>136</v>
      </c>
      <c r="E219" s="4" t="s">
        <v>137</v>
      </c>
      <c r="F219" s="4" t="s">
        <v>138</v>
      </c>
      <c r="G219" s="4" t="s">
        <v>139</v>
      </c>
      <c r="H219" s="4"/>
      <c r="I219" s="14" t="s">
        <v>140</v>
      </c>
      <c r="J219" s="14" t="s">
        <v>142</v>
      </c>
      <c r="K219" s="4"/>
    </row>
    <row r="220" spans="1:11" x14ac:dyDescent="0.2">
      <c r="C220" s="4" t="s">
        <v>112</v>
      </c>
      <c r="D220" s="10">
        <v>4575.71</v>
      </c>
      <c r="E220" s="4">
        <v>0</v>
      </c>
      <c r="F220" s="4">
        <v>0</v>
      </c>
      <c r="G220" s="4">
        <v>5000</v>
      </c>
      <c r="H220" s="4"/>
      <c r="I220" s="14"/>
      <c r="J220" s="14">
        <v>4</v>
      </c>
      <c r="K220" s="4"/>
    </row>
    <row r="221" spans="1:11" x14ac:dyDescent="0.2">
      <c r="C221" s="4" t="s">
        <v>113</v>
      </c>
      <c r="D221" s="10">
        <v>2078.8000000000002</v>
      </c>
      <c r="E221" s="4">
        <v>100</v>
      </c>
      <c r="F221" s="4">
        <v>100</v>
      </c>
      <c r="G221" s="4">
        <v>2000</v>
      </c>
      <c r="H221" s="4"/>
      <c r="I221" s="14">
        <v>10</v>
      </c>
      <c r="J221" s="14"/>
      <c r="K221" s="4"/>
    </row>
    <row r="222" spans="1:11" x14ac:dyDescent="0.2">
      <c r="C222" s="4" t="s">
        <v>114</v>
      </c>
      <c r="D222" s="10">
        <v>970.87</v>
      </c>
      <c r="E222" s="4">
        <v>1000</v>
      </c>
      <c r="F222" s="4">
        <v>0</v>
      </c>
      <c r="G222" s="4">
        <v>0</v>
      </c>
      <c r="H222" s="4"/>
      <c r="I222" s="14"/>
      <c r="J222" s="14">
        <v>1</v>
      </c>
      <c r="K222" s="4"/>
    </row>
    <row r="223" spans="1:11" x14ac:dyDescent="0.2">
      <c r="C223" s="4" t="s">
        <v>130</v>
      </c>
      <c r="D223" s="10">
        <v>961.17</v>
      </c>
      <c r="E223" s="4">
        <v>0</v>
      </c>
      <c r="F223" s="4">
        <v>1000</v>
      </c>
      <c r="G223" s="4">
        <v>0</v>
      </c>
      <c r="H223" s="4"/>
      <c r="I223" s="14"/>
      <c r="J223" s="14">
        <v>1</v>
      </c>
      <c r="K223" s="4"/>
    </row>
    <row r="224" spans="1:11" x14ac:dyDescent="0.2">
      <c r="C224" s="4"/>
      <c r="D224" s="10"/>
      <c r="E224" s="4"/>
      <c r="F224" s="4"/>
      <c r="G224" s="4"/>
      <c r="H224" s="4"/>
      <c r="I224" s="4"/>
      <c r="J224" s="4"/>
      <c r="K224" s="4"/>
    </row>
    <row r="225" spans="1:11" x14ac:dyDescent="0.2">
      <c r="B225" s="1" t="s">
        <v>141</v>
      </c>
      <c r="C225" s="4"/>
      <c r="D225" s="4">
        <f>D221*$I$221-D220*$J$220-D222-D223</f>
        <v>553.12</v>
      </c>
      <c r="E225" s="4">
        <f>E221*$I$221-E220*$J$220-E222-E223</f>
        <v>0</v>
      </c>
      <c r="F225" s="4">
        <f>F221*$I$221-F220*$J$220-F222-F223</f>
        <v>0</v>
      </c>
      <c r="G225" s="4">
        <f>G221*$I$221-G220*$J$220-G222-G223</f>
        <v>0</v>
      </c>
      <c r="H225" s="4"/>
      <c r="I225" s="4"/>
      <c r="J225" s="4"/>
      <c r="K225" s="4"/>
    </row>
    <row r="227" spans="1:11" x14ac:dyDescent="0.2">
      <c r="B227" s="43" t="s">
        <v>143</v>
      </c>
    </row>
    <row r="228" spans="1:11" x14ac:dyDescent="0.2">
      <c r="B228" s="43" t="s">
        <v>144</v>
      </c>
    </row>
    <row r="231" spans="1:11" x14ac:dyDescent="0.2">
      <c r="A231" s="11">
        <v>9</v>
      </c>
      <c r="B231" s="5"/>
      <c r="C231" s="5"/>
      <c r="D231" s="5"/>
      <c r="E231" s="5"/>
      <c r="F231" s="5"/>
      <c r="G231" s="5"/>
      <c r="H231" s="5"/>
    </row>
    <row r="233" spans="1:11" x14ac:dyDescent="0.2">
      <c r="A233" s="12" t="s">
        <v>4</v>
      </c>
      <c r="B233" s="1" t="s">
        <v>213</v>
      </c>
      <c r="C233" s="1">
        <f xml:space="preserve"> (2 * 1.05) / (0.12-0.05)</f>
        <v>30.000000000000004</v>
      </c>
    </row>
    <row r="235" spans="1:11" x14ac:dyDescent="0.2">
      <c r="A235" s="12" t="s">
        <v>5</v>
      </c>
      <c r="B235" s="1" t="s">
        <v>214</v>
      </c>
      <c r="I235" s="1">
        <f>(2 * 1.08) / (0.12-0.08) * (1 - ((1+0.08)/(1+0.12))^3)+  ((2 * (1.08)^3 * 1.04) / (0.12-0.04)) / ((1+0.12)^3)</f>
        <v>28.894132653061224</v>
      </c>
    </row>
    <row r="239" spans="1:11" x14ac:dyDescent="0.2">
      <c r="A239" s="11">
        <v>10</v>
      </c>
      <c r="B239" s="5"/>
      <c r="C239" s="5"/>
      <c r="D239" s="5"/>
      <c r="E239" s="5"/>
      <c r="F239" s="5"/>
      <c r="G239" s="5"/>
      <c r="H239" s="5"/>
    </row>
    <row r="241" spans="1:11" x14ac:dyDescent="0.2">
      <c r="A241" s="12" t="s">
        <v>4</v>
      </c>
      <c r="B241" s="1" t="s">
        <v>215</v>
      </c>
    </row>
    <row r="243" spans="1:11" x14ac:dyDescent="0.2">
      <c r="A243" s="12" t="s">
        <v>5</v>
      </c>
      <c r="B243" s="1" t="s">
        <v>216</v>
      </c>
    </row>
    <row r="244" spans="1:11" x14ac:dyDescent="0.2">
      <c r="B244" s="1" t="s">
        <v>217</v>
      </c>
      <c r="D244" s="1">
        <f xml:space="preserve"> 10/0.1 + (-10+2.1/0.1)/(1+0.1)</f>
        <v>110</v>
      </c>
    </row>
    <row r="246" spans="1:11" x14ac:dyDescent="0.2">
      <c r="A246" s="12" t="s">
        <v>6</v>
      </c>
      <c r="B246" s="1" t="s">
        <v>218</v>
      </c>
    </row>
    <row r="251" spans="1:11" x14ac:dyDescent="0.2">
      <c r="A251" s="11">
        <v>11</v>
      </c>
      <c r="B251" s="5"/>
      <c r="C251" s="5"/>
      <c r="D251" s="5"/>
      <c r="E251" s="5"/>
      <c r="F251" s="5"/>
      <c r="G251" s="5"/>
      <c r="H251" s="5"/>
    </row>
    <row r="253" spans="1:11" x14ac:dyDescent="0.2">
      <c r="A253" s="12" t="s">
        <v>4</v>
      </c>
      <c r="B253" s="1" t="s">
        <v>70</v>
      </c>
      <c r="C253" s="1">
        <v>0</v>
      </c>
      <c r="D253" s="3">
        <v>1</v>
      </c>
      <c r="E253" s="3">
        <v>2</v>
      </c>
      <c r="F253" s="3">
        <v>3</v>
      </c>
      <c r="G253" s="3">
        <v>4</v>
      </c>
      <c r="H253" s="3">
        <v>5</v>
      </c>
      <c r="I253" s="3">
        <v>6</v>
      </c>
      <c r="J253" s="3">
        <v>7</v>
      </c>
      <c r="K253" s="3" t="s">
        <v>197</v>
      </c>
    </row>
    <row r="254" spans="1:11" x14ac:dyDescent="0.2">
      <c r="B254" s="1" t="s">
        <v>198</v>
      </c>
      <c r="C254" s="4" t="s">
        <v>199</v>
      </c>
      <c r="D254" s="3" t="s">
        <v>199</v>
      </c>
      <c r="E254" s="51">
        <v>0.04</v>
      </c>
      <c r="F254" s="51">
        <v>0.04</v>
      </c>
      <c r="G254" s="51">
        <v>0.04</v>
      </c>
      <c r="H254" s="51">
        <v>0.04</v>
      </c>
      <c r="I254" s="51">
        <v>0.04</v>
      </c>
      <c r="J254" s="51">
        <v>0.03</v>
      </c>
      <c r="K254" s="51">
        <v>0.03</v>
      </c>
    </row>
    <row r="255" spans="1:11" x14ac:dyDescent="0.2">
      <c r="B255" s="1" t="s">
        <v>96</v>
      </c>
      <c r="C255" s="4" t="s">
        <v>199</v>
      </c>
      <c r="D255" s="52">
        <v>37</v>
      </c>
      <c r="E255" s="52">
        <f>D255*(1+E254)</f>
        <v>38.480000000000004</v>
      </c>
      <c r="F255" s="52">
        <f t="shared" ref="F255:J255" si="4">E255*(1+F254)</f>
        <v>40.019200000000005</v>
      </c>
      <c r="G255" s="52">
        <f t="shared" si="4"/>
        <v>41.619968000000007</v>
      </c>
      <c r="H255" s="52">
        <f t="shared" si="4"/>
        <v>43.284766720000007</v>
      </c>
      <c r="I255" s="52">
        <f>H255*(1+I254)</f>
        <v>45.016157388800011</v>
      </c>
      <c r="J255" s="52">
        <f t="shared" si="4"/>
        <v>46.366642110464014</v>
      </c>
      <c r="K255" s="3"/>
    </row>
    <row r="256" spans="1:11" x14ac:dyDescent="0.2">
      <c r="C256" s="4"/>
      <c r="D256" s="3"/>
      <c r="E256" s="3"/>
      <c r="F256" s="3"/>
      <c r="G256" s="3"/>
      <c r="H256" s="3"/>
      <c r="I256" s="53"/>
      <c r="J256" s="3"/>
      <c r="K256" s="3"/>
    </row>
    <row r="257" spans="1:13" x14ac:dyDescent="0.2">
      <c r="B257" s="1" t="s">
        <v>200</v>
      </c>
      <c r="C257" s="39">
        <v>0.14000000000000001</v>
      </c>
      <c r="D257" s="51"/>
      <c r="E257" s="3"/>
      <c r="F257" s="3"/>
      <c r="G257" s="3"/>
      <c r="H257" s="3"/>
      <c r="I257" s="3"/>
      <c r="J257" s="3"/>
      <c r="K257" s="3"/>
    </row>
    <row r="258" spans="1:13" x14ac:dyDescent="0.2">
      <c r="B258" s="1" t="s">
        <v>22</v>
      </c>
      <c r="C258" s="54">
        <f>(D255/(C257-E254))*(1-((1+E254)/(1+C257))^6)+(J255/(C257-K254))/(1+C257)^6</f>
        <v>348.74547132942507</v>
      </c>
      <c r="D258" s="52"/>
      <c r="E258" s="52"/>
      <c r="F258" s="52"/>
      <c r="G258" s="52"/>
      <c r="H258" s="52"/>
      <c r="I258" s="52"/>
      <c r="J258" s="52"/>
      <c r="K258" s="3"/>
    </row>
    <row r="260" spans="1:13" x14ac:dyDescent="0.2">
      <c r="B260" s="168" t="s">
        <v>201</v>
      </c>
      <c r="C260" s="169"/>
      <c r="D260" s="169"/>
      <c r="E260" s="169"/>
      <c r="F260" s="169"/>
      <c r="G260" s="169"/>
      <c r="H260" s="169"/>
      <c r="I260" s="169"/>
      <c r="J260" s="169"/>
      <c r="K260" s="169"/>
      <c r="L260" s="169"/>
      <c r="M260" s="169"/>
    </row>
    <row r="261" spans="1:13" x14ac:dyDescent="0.2">
      <c r="B261" s="168"/>
      <c r="C261" s="169"/>
      <c r="D261" s="169"/>
      <c r="E261" s="169"/>
      <c r="F261" s="169"/>
      <c r="G261" s="169"/>
      <c r="H261" s="169"/>
      <c r="I261" s="169"/>
      <c r="J261" s="169"/>
      <c r="K261" s="169"/>
      <c r="L261" s="169"/>
      <c r="M261" s="169"/>
    </row>
    <row r="262" spans="1:13" x14ac:dyDescent="0.2">
      <c r="B262" s="168"/>
      <c r="C262" s="169"/>
      <c r="D262" s="169"/>
      <c r="E262" s="169"/>
      <c r="F262" s="169"/>
      <c r="G262" s="169"/>
      <c r="H262" s="169"/>
      <c r="I262" s="169"/>
      <c r="J262" s="169"/>
      <c r="K262" s="169"/>
      <c r="L262" s="169"/>
      <c r="M262" s="169"/>
    </row>
    <row r="263" spans="1:13" x14ac:dyDescent="0.2">
      <c r="A263" s="12" t="s">
        <v>5</v>
      </c>
      <c r="B263" s="1" t="s">
        <v>202</v>
      </c>
      <c r="C263" s="3">
        <v>20</v>
      </c>
    </row>
    <row r="264" spans="1:13" x14ac:dyDescent="0.2">
      <c r="B264" s="1" t="s">
        <v>203</v>
      </c>
      <c r="C264" s="52">
        <v>150</v>
      </c>
    </row>
    <row r="265" spans="1:13" x14ac:dyDescent="0.2">
      <c r="B265" s="1" t="s">
        <v>204</v>
      </c>
      <c r="C265" s="53">
        <f>C258-C264</f>
        <v>198.74547132942507</v>
      </c>
    </row>
    <row r="266" spans="1:13" x14ac:dyDescent="0.2">
      <c r="B266" s="1" t="s">
        <v>205</v>
      </c>
      <c r="C266" s="53">
        <f>C265/C263</f>
        <v>9.9372735664712533</v>
      </c>
    </row>
    <row r="268" spans="1:13" x14ac:dyDescent="0.2">
      <c r="B268" s="168" t="s">
        <v>206</v>
      </c>
      <c r="C268" s="169"/>
      <c r="D268" s="169"/>
      <c r="E268" s="169"/>
      <c r="F268" s="169"/>
      <c r="G268" s="169"/>
      <c r="H268" s="169"/>
      <c r="I268" s="169"/>
      <c r="J268" s="169"/>
      <c r="K268" s="169"/>
      <c r="L268" s="169"/>
      <c r="M268" s="169"/>
    </row>
    <row r="269" spans="1:13" x14ac:dyDescent="0.2">
      <c r="B269" s="168"/>
      <c r="C269" s="169"/>
      <c r="D269" s="169"/>
      <c r="E269" s="169"/>
      <c r="F269" s="169"/>
      <c r="G269" s="169"/>
      <c r="H269" s="169"/>
      <c r="I269" s="169"/>
      <c r="J269" s="169"/>
      <c r="K269" s="169"/>
      <c r="L269" s="169"/>
      <c r="M269" s="169"/>
    </row>
    <row r="270" spans="1:13" x14ac:dyDescent="0.2">
      <c r="B270" s="168"/>
      <c r="C270" s="169"/>
      <c r="D270" s="169"/>
      <c r="E270" s="169"/>
      <c r="F270" s="169"/>
      <c r="G270" s="169"/>
      <c r="H270" s="169"/>
      <c r="I270" s="169"/>
      <c r="J270" s="169"/>
      <c r="K270" s="169"/>
      <c r="L270" s="169"/>
      <c r="M270" s="169"/>
    </row>
    <row r="272" spans="1:13" x14ac:dyDescent="0.2">
      <c r="A272" s="12" t="s">
        <v>6</v>
      </c>
      <c r="B272" s="1" t="s">
        <v>207</v>
      </c>
      <c r="C272" s="55">
        <v>1.2</v>
      </c>
    </row>
    <row r="273" spans="1:13" x14ac:dyDescent="0.2">
      <c r="B273" s="1" t="s">
        <v>208</v>
      </c>
      <c r="C273" s="39">
        <v>0.02</v>
      </c>
    </row>
    <row r="274" spans="1:13" x14ac:dyDescent="0.2">
      <c r="B274" s="1" t="s">
        <v>211</v>
      </c>
      <c r="C274" s="39">
        <v>0.16</v>
      </c>
    </row>
    <row r="275" spans="1:13" x14ac:dyDescent="0.2">
      <c r="C275" s="4"/>
    </row>
    <row r="276" spans="1:13" x14ac:dyDescent="0.2">
      <c r="B276" s="1" t="s">
        <v>209</v>
      </c>
      <c r="C276" s="55">
        <f>C272/(C274-C273)</f>
        <v>8.5714285714285712</v>
      </c>
    </row>
    <row r="277" spans="1:13" x14ac:dyDescent="0.2">
      <c r="B277" s="1" t="s">
        <v>210</v>
      </c>
      <c r="C277" s="4"/>
    </row>
    <row r="279" spans="1:13" ht="16" customHeight="1" x14ac:dyDescent="0.2">
      <c r="B279" s="174" t="s">
        <v>212</v>
      </c>
      <c r="C279" s="175"/>
      <c r="D279" s="175"/>
      <c r="E279" s="175"/>
      <c r="F279" s="175"/>
      <c r="G279" s="175"/>
      <c r="H279" s="175"/>
      <c r="I279" s="175"/>
      <c r="J279" s="175"/>
      <c r="K279" s="175"/>
      <c r="L279" s="175"/>
      <c r="M279" s="175"/>
    </row>
    <row r="280" spans="1:13" x14ac:dyDescent="0.2">
      <c r="B280" s="174"/>
      <c r="C280" s="175"/>
      <c r="D280" s="175"/>
      <c r="E280" s="175"/>
      <c r="F280" s="175"/>
      <c r="G280" s="175"/>
      <c r="H280" s="175"/>
      <c r="I280" s="175"/>
      <c r="J280" s="175"/>
      <c r="K280" s="175"/>
      <c r="L280" s="175"/>
      <c r="M280" s="175"/>
    </row>
    <row r="281" spans="1:13" x14ac:dyDescent="0.2">
      <c r="B281" s="174"/>
      <c r="C281" s="175"/>
      <c r="D281" s="175"/>
      <c r="E281" s="175"/>
      <c r="F281" s="175"/>
      <c r="G281" s="175"/>
      <c r="H281" s="175"/>
      <c r="I281" s="175"/>
      <c r="J281" s="175"/>
      <c r="K281" s="175"/>
      <c r="L281" s="175"/>
      <c r="M281" s="175"/>
    </row>
    <row r="282" spans="1:13" x14ac:dyDescent="0.2">
      <c r="A282" s="1"/>
      <c r="B282" s="174"/>
      <c r="C282" s="175"/>
      <c r="D282" s="175"/>
      <c r="E282" s="175"/>
      <c r="F282" s="175"/>
      <c r="G282" s="175"/>
      <c r="H282" s="175"/>
      <c r="I282" s="175"/>
      <c r="J282" s="175"/>
      <c r="K282" s="175"/>
      <c r="L282" s="175"/>
      <c r="M282" s="175"/>
    </row>
    <row r="283" spans="1:13" x14ac:dyDescent="0.2">
      <c r="A283" s="1"/>
      <c r="B283" s="174"/>
      <c r="C283" s="175"/>
      <c r="D283" s="175"/>
      <c r="E283" s="175"/>
      <c r="F283" s="175"/>
      <c r="G283" s="175"/>
      <c r="H283" s="175"/>
      <c r="I283" s="175"/>
      <c r="J283" s="175"/>
      <c r="K283" s="175"/>
      <c r="L283" s="175"/>
      <c r="M283" s="175"/>
    </row>
    <row r="286" spans="1:13" x14ac:dyDescent="0.2">
      <c r="A286" s="11">
        <v>12</v>
      </c>
      <c r="B286" s="5"/>
      <c r="C286" s="5"/>
      <c r="D286" s="5"/>
      <c r="E286" s="5"/>
      <c r="F286" s="5"/>
      <c r="G286" s="5"/>
      <c r="H286" s="5"/>
    </row>
    <row r="288" spans="1:13" x14ac:dyDescent="0.2">
      <c r="A288" s="12" t="s">
        <v>4</v>
      </c>
      <c r="B288" s="1" t="s">
        <v>251</v>
      </c>
      <c r="E288" s="1">
        <f>110000000/20000000</f>
        <v>5.5</v>
      </c>
    </row>
    <row r="290" spans="1:8" x14ac:dyDescent="0.2">
      <c r="B290" s="1" t="s">
        <v>252</v>
      </c>
      <c r="C290" s="66">
        <f xml:space="preserve"> 5.5/ 0.15</f>
        <v>36.666666666666671</v>
      </c>
    </row>
    <row r="292" spans="1:8" x14ac:dyDescent="0.2">
      <c r="A292" s="12" t="s">
        <v>5</v>
      </c>
      <c r="B292" s="1" t="s">
        <v>253</v>
      </c>
      <c r="G292" s="1">
        <f>-12000000-7000000/(1+0.15)^1+(10000000/0.15)/(1+0.15)^1</f>
        <v>39884057.9710145</v>
      </c>
    </row>
    <row r="294" spans="1:8" x14ac:dyDescent="0.2">
      <c r="B294" s="1" t="s">
        <v>254</v>
      </c>
      <c r="C294" s="66">
        <f>G292/20000000</f>
        <v>1.994202898550725</v>
      </c>
    </row>
    <row r="296" spans="1:8" x14ac:dyDescent="0.2">
      <c r="A296" s="12" t="s">
        <v>6</v>
      </c>
      <c r="B296" s="1" t="s">
        <v>255</v>
      </c>
      <c r="C296" s="67">
        <f>C290+C294</f>
        <v>38.660869565217396</v>
      </c>
    </row>
    <row r="302" spans="1:8" x14ac:dyDescent="0.2">
      <c r="A302" s="11">
        <v>13</v>
      </c>
      <c r="B302" s="5"/>
      <c r="C302" s="5"/>
      <c r="D302" s="5"/>
      <c r="E302" s="5"/>
      <c r="F302" s="5"/>
      <c r="G302" s="5"/>
      <c r="H302" s="5"/>
    </row>
    <row r="304" spans="1:8" x14ac:dyDescent="0.2">
      <c r="A304" s="12" t="s">
        <v>4</v>
      </c>
      <c r="B304" s="1" t="s">
        <v>256</v>
      </c>
      <c r="C304" s="66">
        <f xml:space="preserve"> 5 / 0.14</f>
        <v>35.714285714285708</v>
      </c>
    </row>
    <row r="306" spans="1:12" x14ac:dyDescent="0.2">
      <c r="A306" s="12" t="s">
        <v>5</v>
      </c>
      <c r="B306" s="1" t="s">
        <v>257</v>
      </c>
    </row>
    <row r="307" spans="1:12" x14ac:dyDescent="0.2">
      <c r="B307" s="1" t="s">
        <v>258</v>
      </c>
    </row>
    <row r="309" spans="1:12" x14ac:dyDescent="0.2">
      <c r="B309" s="1" t="s">
        <v>259</v>
      </c>
      <c r="C309" s="1">
        <f>0.25*0.2</f>
        <v>0.05</v>
      </c>
    </row>
    <row r="311" spans="1:12" x14ac:dyDescent="0.2">
      <c r="B311" s="1" t="s">
        <v>260</v>
      </c>
    </row>
    <row r="313" spans="1:12" x14ac:dyDescent="0.2">
      <c r="B313" s="69" t="s">
        <v>26</v>
      </c>
      <c r="C313" s="69">
        <v>0</v>
      </c>
      <c r="D313" s="69">
        <v>1</v>
      </c>
      <c r="E313" s="69">
        <v>2</v>
      </c>
      <c r="F313" s="69">
        <v>3</v>
      </c>
      <c r="G313" s="69">
        <v>4</v>
      </c>
      <c r="H313" s="69">
        <v>5</v>
      </c>
      <c r="I313" s="69">
        <v>6</v>
      </c>
      <c r="J313" s="69">
        <v>7</v>
      </c>
      <c r="K313" s="72" t="s">
        <v>197</v>
      </c>
    </row>
    <row r="314" spans="1:12" x14ac:dyDescent="0.2">
      <c r="B314" s="69" t="s">
        <v>263</v>
      </c>
      <c r="C314" s="69"/>
      <c r="D314" s="69"/>
      <c r="E314" s="69"/>
      <c r="F314" s="70" t="s">
        <v>261</v>
      </c>
      <c r="G314" s="69"/>
      <c r="H314" s="69"/>
      <c r="I314" s="69"/>
      <c r="J314" s="69"/>
      <c r="K314" s="69"/>
      <c r="L314" s="1" t="s">
        <v>272</v>
      </c>
    </row>
    <row r="315" spans="1:12" x14ac:dyDescent="0.2">
      <c r="B315" s="69" t="s">
        <v>262</v>
      </c>
      <c r="C315" s="69"/>
      <c r="D315" s="69"/>
      <c r="E315" s="69"/>
      <c r="F315" s="69"/>
      <c r="G315" s="69" t="s">
        <v>274</v>
      </c>
      <c r="H315" s="69" t="s">
        <v>274</v>
      </c>
      <c r="I315" s="69" t="s">
        <v>274</v>
      </c>
      <c r="J315" s="69" t="s">
        <v>274</v>
      </c>
      <c r="K315" s="72" t="s">
        <v>197</v>
      </c>
      <c r="L315" s="1" t="s">
        <v>666</v>
      </c>
    </row>
    <row r="316" spans="1:12" x14ac:dyDescent="0.2">
      <c r="B316" s="69"/>
      <c r="C316" s="69"/>
      <c r="D316" s="69"/>
      <c r="E316" s="69"/>
      <c r="F316" s="71"/>
      <c r="G316" s="69"/>
      <c r="H316" s="69"/>
      <c r="I316" s="69"/>
      <c r="J316" s="69"/>
      <c r="K316" s="69"/>
    </row>
    <row r="317" spans="1:12" x14ac:dyDescent="0.2">
      <c r="B317" s="69" t="s">
        <v>264</v>
      </c>
      <c r="C317" s="69"/>
      <c r="D317" s="69"/>
      <c r="E317" s="69"/>
      <c r="F317" s="69"/>
      <c r="G317" s="70" t="s">
        <v>266</v>
      </c>
      <c r="H317" s="69"/>
      <c r="I317" s="69"/>
      <c r="J317" s="69"/>
      <c r="K317" s="69"/>
      <c r="L317" s="1" t="s">
        <v>273</v>
      </c>
    </row>
    <row r="318" spans="1:12" x14ac:dyDescent="0.2">
      <c r="B318" s="69" t="s">
        <v>265</v>
      </c>
      <c r="C318" s="69"/>
      <c r="D318" s="69"/>
      <c r="E318" s="69"/>
      <c r="F318" s="69"/>
      <c r="G318" s="69"/>
      <c r="H318" s="69" t="s">
        <v>271</v>
      </c>
      <c r="I318" s="69" t="s">
        <v>271</v>
      </c>
      <c r="J318" s="69" t="s">
        <v>271</v>
      </c>
      <c r="K318" s="72" t="s">
        <v>197</v>
      </c>
      <c r="L318" s="1" t="s">
        <v>666</v>
      </c>
    </row>
    <row r="319" spans="1:12" x14ac:dyDescent="0.2">
      <c r="B319" s="69"/>
      <c r="C319" s="69"/>
      <c r="D319" s="69"/>
      <c r="E319" s="69"/>
      <c r="F319" s="69"/>
      <c r="G319" s="69"/>
      <c r="H319" s="69"/>
      <c r="I319" s="69"/>
      <c r="J319" s="69"/>
      <c r="K319" s="69"/>
    </row>
    <row r="320" spans="1:12" x14ac:dyDescent="0.2">
      <c r="B320" s="69" t="s">
        <v>267</v>
      </c>
      <c r="C320" s="69"/>
      <c r="D320" s="69"/>
      <c r="E320" s="69"/>
      <c r="F320" s="69"/>
      <c r="G320" s="69"/>
      <c r="H320" s="70" t="s">
        <v>269</v>
      </c>
      <c r="I320" s="69"/>
      <c r="J320" s="69"/>
      <c r="K320" s="69"/>
      <c r="L320" s="1" t="s">
        <v>275</v>
      </c>
    </row>
    <row r="321" spans="2:12" x14ac:dyDescent="0.2">
      <c r="B321" s="69" t="s">
        <v>268</v>
      </c>
      <c r="C321" s="69"/>
      <c r="D321" s="69"/>
      <c r="E321" s="69"/>
      <c r="F321" s="69"/>
      <c r="G321" s="69"/>
      <c r="H321" s="69"/>
      <c r="I321" s="69" t="s">
        <v>270</v>
      </c>
      <c r="J321" s="69" t="s">
        <v>270</v>
      </c>
      <c r="K321" s="72" t="s">
        <v>197</v>
      </c>
      <c r="L321" s="1" t="s">
        <v>666</v>
      </c>
    </row>
    <row r="322" spans="2:12" x14ac:dyDescent="0.2">
      <c r="B322" s="72" t="s">
        <v>197</v>
      </c>
      <c r="C322" s="69"/>
      <c r="D322" s="69"/>
      <c r="E322" s="69"/>
      <c r="F322" s="69"/>
      <c r="G322" s="69"/>
      <c r="H322" s="69"/>
      <c r="I322" s="69"/>
      <c r="J322" s="69"/>
      <c r="K322" s="69"/>
    </row>
    <row r="324" spans="2:12" x14ac:dyDescent="0.2">
      <c r="B324" s="1" t="s">
        <v>667</v>
      </c>
    </row>
    <row r="325" spans="2:12" x14ac:dyDescent="0.2">
      <c r="B325" s="1" t="s">
        <v>276</v>
      </c>
      <c r="F325" s="66">
        <f xml:space="preserve"> (((- 0.25 * 5) +(0.25 * 5 * 0.2)/0.14)/(0.14-0.05)) / (1+0.14)^2</f>
        <v>4.5801638599422505</v>
      </c>
    </row>
    <row r="327" spans="2:12" x14ac:dyDescent="0.2">
      <c r="B327" s="1" t="s">
        <v>669</v>
      </c>
    </row>
    <row r="328" spans="2:12" x14ac:dyDescent="0.2">
      <c r="B328" s="1" t="s">
        <v>670</v>
      </c>
    </row>
    <row r="330" spans="2:12" x14ac:dyDescent="0.2">
      <c r="B330" s="1" t="s">
        <v>668</v>
      </c>
    </row>
    <row r="331" spans="2:12" x14ac:dyDescent="0.2">
      <c r="B331" s="1" t="s">
        <v>277</v>
      </c>
      <c r="C331" s="67">
        <f>+F325+C304</f>
        <v>40.294449574227961</v>
      </c>
    </row>
  </sheetData>
  <mergeCells count="7">
    <mergeCell ref="B268:M270"/>
    <mergeCell ref="B279:M283"/>
    <mergeCell ref="E218:G218"/>
    <mergeCell ref="B215:K216"/>
    <mergeCell ref="B119:K121"/>
    <mergeCell ref="B122:K124"/>
    <mergeCell ref="B260:M26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7200-FD0E-E248-835B-DA0A0086EB0E}">
  <dimension ref="A1:N288"/>
  <sheetViews>
    <sheetView zoomScaleNormal="100" workbookViewId="0"/>
  </sheetViews>
  <sheetFormatPr baseColWidth="10" defaultRowHeight="16" x14ac:dyDescent="0.2"/>
  <cols>
    <col min="1" max="1" width="12.1640625" style="12" customWidth="1"/>
    <col min="2" max="2" width="21.83203125" style="1" customWidth="1"/>
    <col min="3" max="3" width="13.6640625" style="1" bestFit="1" customWidth="1"/>
    <col min="4" max="4" width="14.1640625" style="1" bestFit="1" customWidth="1"/>
    <col min="5" max="16384" width="10.83203125" style="1"/>
  </cols>
  <sheetData>
    <row r="1" spans="1:9" x14ac:dyDescent="0.2">
      <c r="A1" s="9" t="s">
        <v>278</v>
      </c>
    </row>
    <row r="3" spans="1:9" x14ac:dyDescent="0.2">
      <c r="A3" s="11">
        <v>1</v>
      </c>
      <c r="B3" s="5"/>
      <c r="C3" s="5"/>
      <c r="D3" s="5"/>
      <c r="E3" s="5"/>
      <c r="F3" s="5"/>
      <c r="G3" s="5"/>
      <c r="H3" s="5"/>
    </row>
    <row r="5" spans="1:9" x14ac:dyDescent="0.2">
      <c r="A5" s="12" t="s">
        <v>4</v>
      </c>
      <c r="B5" s="168" t="s">
        <v>543</v>
      </c>
      <c r="C5" s="169"/>
      <c r="D5" s="169"/>
      <c r="E5" s="169"/>
      <c r="F5" s="169"/>
      <c r="G5" s="169"/>
      <c r="H5" s="169"/>
      <c r="I5" s="169"/>
    </row>
    <row r="6" spans="1:9" x14ac:dyDescent="0.2">
      <c r="B6" s="168"/>
      <c r="C6" s="169"/>
      <c r="D6" s="169"/>
      <c r="E6" s="169"/>
      <c r="F6" s="169"/>
      <c r="G6" s="169"/>
      <c r="H6" s="169"/>
      <c r="I6" s="169"/>
    </row>
    <row r="7" spans="1:9" x14ac:dyDescent="0.2">
      <c r="B7" s="168"/>
      <c r="C7" s="169"/>
      <c r="D7" s="169"/>
      <c r="E7" s="169"/>
      <c r="F7" s="169"/>
      <c r="G7" s="169"/>
      <c r="H7" s="169"/>
      <c r="I7" s="169"/>
    </row>
    <row r="8" spans="1:9" x14ac:dyDescent="0.2">
      <c r="B8" s="168"/>
      <c r="C8" s="169"/>
      <c r="D8" s="169"/>
      <c r="E8" s="169"/>
      <c r="F8" s="169"/>
      <c r="G8" s="169"/>
      <c r="H8" s="169"/>
      <c r="I8" s="169"/>
    </row>
    <row r="9" spans="1:9" x14ac:dyDescent="0.2">
      <c r="B9" s="168"/>
      <c r="C9" s="169"/>
      <c r="D9" s="169"/>
      <c r="E9" s="169"/>
      <c r="F9" s="169"/>
      <c r="G9" s="169"/>
      <c r="H9" s="169"/>
      <c r="I9" s="169"/>
    </row>
    <row r="10" spans="1:9" x14ac:dyDescent="0.2">
      <c r="B10" s="168"/>
      <c r="C10" s="169"/>
      <c r="D10" s="169"/>
      <c r="E10" s="169"/>
      <c r="F10" s="169"/>
      <c r="G10" s="169"/>
      <c r="H10" s="169"/>
      <c r="I10" s="169"/>
    </row>
    <row r="11" spans="1:9" x14ac:dyDescent="0.2">
      <c r="A11" s="12" t="s">
        <v>5</v>
      </c>
      <c r="B11" s="168" t="s">
        <v>544</v>
      </c>
      <c r="C11" s="169"/>
      <c r="D11" s="169"/>
      <c r="E11" s="169"/>
      <c r="F11" s="169"/>
      <c r="G11" s="169"/>
      <c r="H11" s="169"/>
    </row>
    <row r="12" spans="1:9" x14ac:dyDescent="0.2">
      <c r="B12" s="168"/>
      <c r="C12" s="169"/>
      <c r="D12" s="169"/>
      <c r="E12" s="169"/>
      <c r="F12" s="169"/>
      <c r="G12" s="169"/>
      <c r="H12" s="169"/>
    </row>
    <row r="14" spans="1:9" x14ac:dyDescent="0.2">
      <c r="A14" s="12" t="s">
        <v>6</v>
      </c>
      <c r="B14" s="1" t="s">
        <v>545</v>
      </c>
    </row>
    <row r="18" spans="1:8" x14ac:dyDescent="0.2">
      <c r="A18" s="11">
        <v>2</v>
      </c>
      <c r="B18" s="5"/>
      <c r="C18" s="5"/>
      <c r="D18" s="5"/>
      <c r="E18" s="5"/>
      <c r="F18" s="5"/>
      <c r="G18" s="5"/>
      <c r="H18" s="5"/>
    </row>
    <row r="19" spans="1:8" x14ac:dyDescent="0.2">
      <c r="A19" s="92"/>
    </row>
    <row r="20" spans="1:8" x14ac:dyDescent="0.2">
      <c r="A20" s="12" t="s">
        <v>4</v>
      </c>
      <c r="B20" s="1" t="s">
        <v>455</v>
      </c>
      <c r="C20" s="98">
        <v>300000</v>
      </c>
      <c r="D20" s="4"/>
      <c r="E20" s="4"/>
    </row>
    <row r="21" spans="1:8" x14ac:dyDescent="0.2">
      <c r="B21" s="2" t="s">
        <v>456</v>
      </c>
      <c r="C21" s="13" t="s">
        <v>457</v>
      </c>
      <c r="D21" s="13" t="s">
        <v>458</v>
      </c>
      <c r="E21" s="13" t="s">
        <v>459</v>
      </c>
    </row>
    <row r="22" spans="1:8" x14ac:dyDescent="0.2">
      <c r="B22" s="1" t="s">
        <v>460</v>
      </c>
      <c r="C22" s="93">
        <v>0.6</v>
      </c>
      <c r="D22" s="4">
        <v>23</v>
      </c>
      <c r="E22" s="4">
        <v>40</v>
      </c>
    </row>
    <row r="23" spans="1:8" x14ac:dyDescent="0.2">
      <c r="B23" s="1" t="s">
        <v>461</v>
      </c>
      <c r="C23" s="93">
        <v>0.3</v>
      </c>
      <c r="D23" s="4">
        <v>71</v>
      </c>
      <c r="E23" s="4">
        <v>53</v>
      </c>
    </row>
    <row r="24" spans="1:8" x14ac:dyDescent="0.2">
      <c r="B24" s="1" t="s">
        <v>462</v>
      </c>
      <c r="C24" s="93">
        <v>0.1</v>
      </c>
      <c r="D24" s="4">
        <v>4</v>
      </c>
      <c r="E24" s="4">
        <v>14</v>
      </c>
    </row>
    <row r="26" spans="1:8" x14ac:dyDescent="0.2">
      <c r="B26" s="2" t="s">
        <v>465</v>
      </c>
      <c r="C26" s="95" t="s">
        <v>463</v>
      </c>
      <c r="D26" s="95" t="s">
        <v>464</v>
      </c>
    </row>
    <row r="27" spans="1:8" x14ac:dyDescent="0.2">
      <c r="B27" s="1" t="s">
        <v>460</v>
      </c>
      <c r="C27" s="99">
        <f>$C$20*C22</f>
        <v>180000</v>
      </c>
      <c r="D27" s="3">
        <f>C27/D22</f>
        <v>7826.086956521739</v>
      </c>
    </row>
    <row r="28" spans="1:8" x14ac:dyDescent="0.2">
      <c r="B28" s="1" t="s">
        <v>461</v>
      </c>
      <c r="C28" s="99">
        <f t="shared" ref="C28:C29" si="0">$C$20*C23</f>
        <v>90000</v>
      </c>
      <c r="D28" s="3">
        <f t="shared" ref="D28:D29" si="1">C28/D23</f>
        <v>1267.605633802817</v>
      </c>
    </row>
    <row r="29" spans="1:8" x14ac:dyDescent="0.2">
      <c r="B29" s="42" t="s">
        <v>462</v>
      </c>
      <c r="C29" s="100">
        <f t="shared" si="0"/>
        <v>30000</v>
      </c>
      <c r="D29" s="94">
        <f t="shared" si="1"/>
        <v>7500</v>
      </c>
    </row>
    <row r="30" spans="1:8" x14ac:dyDescent="0.2">
      <c r="B30" s="1" t="s">
        <v>463</v>
      </c>
      <c r="C30" s="99">
        <f>SUM(C27:C29)</f>
        <v>300000</v>
      </c>
      <c r="D30" s="3"/>
    </row>
    <row r="32" spans="1:8" x14ac:dyDescent="0.2">
      <c r="B32" s="2" t="s">
        <v>466</v>
      </c>
    </row>
    <row r="33" spans="1:4" x14ac:dyDescent="0.2">
      <c r="B33" s="1" t="s">
        <v>460</v>
      </c>
      <c r="D33" s="96">
        <f>D27*E22</f>
        <v>313043.47826086957</v>
      </c>
    </row>
    <row r="34" spans="1:4" x14ac:dyDescent="0.2">
      <c r="B34" s="1" t="s">
        <v>461</v>
      </c>
      <c r="D34" s="96">
        <f t="shared" ref="D34:D35" si="2">D28*E23</f>
        <v>67183.098591549307</v>
      </c>
    </row>
    <row r="35" spans="1:4" x14ac:dyDescent="0.2">
      <c r="B35" s="42" t="s">
        <v>462</v>
      </c>
      <c r="C35" s="5"/>
      <c r="D35" s="97">
        <f t="shared" si="2"/>
        <v>105000</v>
      </c>
    </row>
    <row r="36" spans="1:4" x14ac:dyDescent="0.2">
      <c r="B36" s="1" t="s">
        <v>463</v>
      </c>
      <c r="D36" s="96">
        <f>SUM(D33:D35)</f>
        <v>485226.57685241889</v>
      </c>
    </row>
    <row r="38" spans="1:4" x14ac:dyDescent="0.2">
      <c r="B38" s="1" t="s">
        <v>467</v>
      </c>
    </row>
    <row r="40" spans="1:4" x14ac:dyDescent="0.2">
      <c r="A40" s="12" t="s">
        <v>5</v>
      </c>
      <c r="B40" s="102" t="s">
        <v>468</v>
      </c>
      <c r="C40" s="101">
        <f>(D36-C20)/C20</f>
        <v>0.6174219228413963</v>
      </c>
    </row>
    <row r="42" spans="1:4" x14ac:dyDescent="0.2">
      <c r="A42" s="12" t="s">
        <v>6</v>
      </c>
      <c r="B42" s="1" t="s">
        <v>460</v>
      </c>
      <c r="C42" s="57">
        <f>D33/$D$36</f>
        <v>0.64514907714150493</v>
      </c>
    </row>
    <row r="43" spans="1:4" x14ac:dyDescent="0.2">
      <c r="B43" s="1" t="s">
        <v>461</v>
      </c>
      <c r="C43" s="57">
        <f t="shared" ref="C43:C44" si="3">D34/$D$36</f>
        <v>0.13845716990061527</v>
      </c>
    </row>
    <row r="44" spans="1:4" x14ac:dyDescent="0.2">
      <c r="B44" s="1" t="s">
        <v>462</v>
      </c>
      <c r="C44" s="57">
        <f t="shared" si="3"/>
        <v>0.21639375295787977</v>
      </c>
    </row>
    <row r="46" spans="1:4" x14ac:dyDescent="0.2">
      <c r="B46" s="103" t="s">
        <v>469</v>
      </c>
    </row>
    <row r="49" spans="1:13" x14ac:dyDescent="0.2">
      <c r="A49" s="11">
        <v>3</v>
      </c>
      <c r="B49" s="5"/>
      <c r="C49" s="5"/>
      <c r="D49" s="5"/>
      <c r="E49" s="5"/>
      <c r="F49" s="5"/>
      <c r="G49" s="5"/>
      <c r="H49" s="5"/>
    </row>
    <row r="51" spans="1:13" x14ac:dyDescent="0.2">
      <c r="C51" s="177" t="s">
        <v>475</v>
      </c>
      <c r="D51" s="177"/>
      <c r="E51" s="4"/>
      <c r="F51" s="177" t="s">
        <v>470</v>
      </c>
      <c r="G51" s="177"/>
      <c r="I51" s="4"/>
      <c r="J51" s="4"/>
      <c r="K51" s="4"/>
      <c r="L51" s="4"/>
      <c r="M51" s="4"/>
    </row>
    <row r="52" spans="1:13" x14ac:dyDescent="0.2">
      <c r="C52" s="4" t="s">
        <v>472</v>
      </c>
      <c r="D52" s="4" t="s">
        <v>471</v>
      </c>
      <c r="E52" s="4"/>
      <c r="F52" s="4" t="s">
        <v>472</v>
      </c>
      <c r="G52" s="4" t="s">
        <v>471</v>
      </c>
      <c r="I52" s="89" t="s">
        <v>476</v>
      </c>
      <c r="J52" s="4"/>
      <c r="K52" s="89" t="s">
        <v>474</v>
      </c>
    </row>
    <row r="53" spans="1:13" x14ac:dyDescent="0.2">
      <c r="C53" s="39">
        <v>0.14000000000000001</v>
      </c>
      <c r="D53" s="39">
        <v>0.2</v>
      </c>
      <c r="E53" s="4"/>
      <c r="F53" s="39">
        <v>0.2</v>
      </c>
      <c r="G53" s="39">
        <v>0.6</v>
      </c>
      <c r="I53" s="4">
        <v>0.3</v>
      </c>
      <c r="J53" s="4"/>
      <c r="K53" s="39">
        <v>0.04</v>
      </c>
    </row>
    <row r="55" spans="1:13" x14ac:dyDescent="0.2">
      <c r="A55" s="12" t="s">
        <v>4</v>
      </c>
      <c r="B55" s="2" t="s">
        <v>477</v>
      </c>
      <c r="C55" s="95" t="s">
        <v>479</v>
      </c>
      <c r="D55" s="95" t="s">
        <v>472</v>
      </c>
      <c r="E55" s="95" t="s">
        <v>482</v>
      </c>
      <c r="F55" s="95" t="s">
        <v>481</v>
      </c>
    </row>
    <row r="56" spans="1:13" x14ac:dyDescent="0.2">
      <c r="B56" s="1" t="s">
        <v>475</v>
      </c>
      <c r="C56" s="3">
        <v>0.5</v>
      </c>
      <c r="D56" s="51">
        <f>C53</f>
        <v>0.14000000000000001</v>
      </c>
      <c r="E56" s="51">
        <f>D53</f>
        <v>0.2</v>
      </c>
      <c r="F56" s="3">
        <f>E56^2</f>
        <v>4.0000000000000008E-2</v>
      </c>
    </row>
    <row r="57" spans="1:13" x14ac:dyDescent="0.2">
      <c r="B57" s="1" t="s">
        <v>470</v>
      </c>
      <c r="C57" s="3">
        <v>0.4</v>
      </c>
      <c r="D57" s="51">
        <f>F53</f>
        <v>0.2</v>
      </c>
      <c r="E57" s="51">
        <f>G53</f>
        <v>0.6</v>
      </c>
      <c r="F57" s="3">
        <f t="shared" ref="F57:F58" si="4">E57^2</f>
        <v>0.36</v>
      </c>
    </row>
    <row r="58" spans="1:13" x14ac:dyDescent="0.2">
      <c r="B58" s="1" t="s">
        <v>478</v>
      </c>
      <c r="C58" s="3">
        <v>0.1</v>
      </c>
      <c r="D58" s="51">
        <f>K53</f>
        <v>0.04</v>
      </c>
      <c r="E58" s="3">
        <f>0</f>
        <v>0</v>
      </c>
      <c r="F58" s="3">
        <f t="shared" si="4"/>
        <v>0</v>
      </c>
    </row>
    <row r="60" spans="1:13" x14ac:dyDescent="0.2">
      <c r="B60" s="1" t="s">
        <v>480</v>
      </c>
      <c r="D60" s="57">
        <f>SUMPRODUCT(C56:C58,D56:D58)</f>
        <v>0.15400000000000003</v>
      </c>
    </row>
    <row r="61" spans="1:13" x14ac:dyDescent="0.2">
      <c r="B61" s="1" t="s">
        <v>481</v>
      </c>
      <c r="D61" s="1">
        <f>C56^2*F56+C57^2*F57+C58^2*F58+2*C56*C57*E56*E57*$I$53</f>
        <v>8.2000000000000017E-2</v>
      </c>
    </row>
    <row r="62" spans="1:13" x14ac:dyDescent="0.2">
      <c r="B62" s="1" t="s">
        <v>483</v>
      </c>
      <c r="D62" s="57">
        <f>SQRT(D61)</f>
        <v>0.28635642126552707</v>
      </c>
    </row>
    <row r="64" spans="1:13" x14ac:dyDescent="0.2">
      <c r="B64" s="168" t="s">
        <v>484</v>
      </c>
      <c r="C64" s="169"/>
      <c r="D64" s="169"/>
      <c r="E64" s="169"/>
      <c r="F64" s="169"/>
      <c r="G64" s="169"/>
      <c r="H64" s="169"/>
      <c r="I64" s="169"/>
      <c r="J64" s="169"/>
      <c r="K64" s="169"/>
      <c r="L64" s="169"/>
    </row>
    <row r="65" spans="1:12" x14ac:dyDescent="0.2">
      <c r="B65" s="168"/>
      <c r="C65" s="169"/>
      <c r="D65" s="169"/>
      <c r="E65" s="169"/>
      <c r="F65" s="169"/>
      <c r="G65" s="169"/>
      <c r="H65" s="169"/>
      <c r="I65" s="169"/>
      <c r="J65" s="169"/>
      <c r="K65" s="169"/>
      <c r="L65" s="169"/>
    </row>
    <row r="67" spans="1:12" x14ac:dyDescent="0.2">
      <c r="A67" s="12" t="s">
        <v>5</v>
      </c>
      <c r="B67" s="2" t="s">
        <v>477</v>
      </c>
      <c r="C67" s="95" t="s">
        <v>479</v>
      </c>
      <c r="D67" s="95" t="s">
        <v>472</v>
      </c>
      <c r="E67" s="95" t="s">
        <v>482</v>
      </c>
      <c r="F67" s="95" t="s">
        <v>481</v>
      </c>
    </row>
    <row r="68" spans="1:12" x14ac:dyDescent="0.2">
      <c r="B68" s="1" t="s">
        <v>475</v>
      </c>
      <c r="C68" s="3">
        <v>0.89600000000000002</v>
      </c>
      <c r="D68" s="51">
        <f>D56</f>
        <v>0.14000000000000001</v>
      </c>
      <c r="E68" s="51">
        <f>E56</f>
        <v>0.2</v>
      </c>
      <c r="F68" s="3">
        <f>E68^2</f>
        <v>4.0000000000000008E-2</v>
      </c>
    </row>
    <row r="69" spans="1:12" x14ac:dyDescent="0.2">
      <c r="B69" s="1" t="s">
        <v>470</v>
      </c>
      <c r="C69" s="3">
        <v>8.3000000000000004E-2</v>
      </c>
      <c r="D69" s="51">
        <f t="shared" ref="D69:E70" si="5">D57</f>
        <v>0.2</v>
      </c>
      <c r="E69" s="51">
        <f t="shared" si="5"/>
        <v>0.6</v>
      </c>
      <c r="F69" s="3">
        <f t="shared" ref="F69:F70" si="6">E69^2</f>
        <v>0.36</v>
      </c>
    </row>
    <row r="70" spans="1:12" x14ac:dyDescent="0.2">
      <c r="B70" s="1" t="s">
        <v>478</v>
      </c>
      <c r="C70" s="3">
        <v>2.1000000000000001E-2</v>
      </c>
      <c r="D70" s="51">
        <f t="shared" si="5"/>
        <v>0.04</v>
      </c>
      <c r="E70" s="51">
        <f t="shared" si="5"/>
        <v>0</v>
      </c>
      <c r="F70" s="3">
        <f t="shared" si="6"/>
        <v>0</v>
      </c>
    </row>
    <row r="71" spans="1:12" x14ac:dyDescent="0.2">
      <c r="C71" s="3"/>
    </row>
    <row r="72" spans="1:12" x14ac:dyDescent="0.2">
      <c r="B72" s="1" t="s">
        <v>480</v>
      </c>
      <c r="D72" s="57">
        <f>SUMPRODUCT(C68:C70,D68:D70)</f>
        <v>0.14288000000000003</v>
      </c>
    </row>
    <row r="73" spans="1:12" x14ac:dyDescent="0.2">
      <c r="B73" s="1" t="s">
        <v>481</v>
      </c>
      <c r="D73" s="1">
        <f>C68^2*F68+C69^2*F69+C70^2*F70+2*C68*C69*E68*E69*$I$53</f>
        <v>3.9947176000000015E-2</v>
      </c>
    </row>
    <row r="74" spans="1:12" x14ac:dyDescent="0.2">
      <c r="B74" s="1" t="s">
        <v>483</v>
      </c>
      <c r="D74" s="57">
        <f>SQRT(D73)</f>
        <v>0.19986789637157842</v>
      </c>
    </row>
    <row r="76" spans="1:12" x14ac:dyDescent="0.2">
      <c r="B76" s="1" t="s">
        <v>485</v>
      </c>
    </row>
    <row r="78" spans="1:12" x14ac:dyDescent="0.2">
      <c r="B78" s="1" t="s">
        <v>486</v>
      </c>
    </row>
    <row r="79" spans="1:12" x14ac:dyDescent="0.2">
      <c r="B79" s="1" t="s">
        <v>487</v>
      </c>
      <c r="C79" s="104">
        <f>(D60-K53)/D62</f>
        <v>0.39810526858865963</v>
      </c>
    </row>
    <row r="80" spans="1:12" x14ac:dyDescent="0.2">
      <c r="B80" s="1" t="s">
        <v>487</v>
      </c>
      <c r="C80" s="104">
        <f>(D72-K53)/D74</f>
        <v>0.51473999510523571</v>
      </c>
    </row>
    <row r="82" spans="1:8" x14ac:dyDescent="0.2">
      <c r="B82" s="103" t="s">
        <v>488</v>
      </c>
    </row>
    <row r="85" spans="1:8" x14ac:dyDescent="0.2">
      <c r="A85" s="11">
        <v>4</v>
      </c>
      <c r="B85" s="5"/>
      <c r="C85" s="5"/>
      <c r="D85" s="5"/>
      <c r="E85" s="5"/>
      <c r="F85" s="5"/>
      <c r="G85" s="5"/>
      <c r="H85" s="5"/>
    </row>
    <row r="87" spans="1:8" x14ac:dyDescent="0.2">
      <c r="A87" s="12" t="s">
        <v>525</v>
      </c>
      <c r="B87" s="1" t="s">
        <v>524</v>
      </c>
    </row>
    <row r="88" spans="1:8" ht="19" x14ac:dyDescent="0.2">
      <c r="B88" s="108" t="s">
        <v>540</v>
      </c>
    </row>
    <row r="90" spans="1:8" x14ac:dyDescent="0.2">
      <c r="B90" s="1" t="s">
        <v>526</v>
      </c>
    </row>
    <row r="91" spans="1:8" x14ac:dyDescent="0.2">
      <c r="B91" s="1" t="s">
        <v>527</v>
      </c>
    </row>
    <row r="92" spans="1:8" x14ac:dyDescent="0.2">
      <c r="B92" s="1" t="s">
        <v>528</v>
      </c>
    </row>
    <row r="94" spans="1:8" x14ac:dyDescent="0.2">
      <c r="A94" s="12" t="s">
        <v>529</v>
      </c>
      <c r="B94" s="1" t="s">
        <v>530</v>
      </c>
    </row>
    <row r="95" spans="1:8" x14ac:dyDescent="0.2">
      <c r="B95" s="1" t="s">
        <v>531</v>
      </c>
    </row>
    <row r="96" spans="1:8" ht="19" x14ac:dyDescent="0.2">
      <c r="B96" s="108" t="s">
        <v>541</v>
      </c>
    </row>
    <row r="98" spans="1:8" ht="19" x14ac:dyDescent="0.2">
      <c r="A98" s="12" t="s">
        <v>532</v>
      </c>
      <c r="B98" s="108" t="s">
        <v>542</v>
      </c>
    </row>
    <row r="99" spans="1:8" x14ac:dyDescent="0.2">
      <c r="B99" s="1" t="s">
        <v>533</v>
      </c>
    </row>
    <row r="100" spans="1:8" x14ac:dyDescent="0.2">
      <c r="B100" s="1" t="s">
        <v>534</v>
      </c>
    </row>
    <row r="102" spans="1:8" x14ac:dyDescent="0.2">
      <c r="A102" s="12" t="s">
        <v>535</v>
      </c>
      <c r="B102" s="1" t="s">
        <v>536</v>
      </c>
    </row>
    <row r="103" spans="1:8" x14ac:dyDescent="0.2">
      <c r="B103" s="1" t="s">
        <v>537</v>
      </c>
    </row>
    <row r="104" spans="1:8" x14ac:dyDescent="0.2">
      <c r="B104" s="1" t="s">
        <v>538</v>
      </c>
    </row>
    <row r="105" spans="1:8" x14ac:dyDescent="0.2">
      <c r="B105" s="1" t="s">
        <v>539</v>
      </c>
    </row>
    <row r="110" spans="1:8" x14ac:dyDescent="0.2">
      <c r="A110" s="105">
        <v>5</v>
      </c>
      <c r="B110" s="106"/>
      <c r="C110" s="106"/>
      <c r="D110" s="106"/>
      <c r="E110" s="106"/>
      <c r="F110" s="106"/>
      <c r="G110" s="106"/>
      <c r="H110" s="106"/>
    </row>
    <row r="112" spans="1:8" x14ac:dyDescent="0.2">
      <c r="C112" s="13" t="s">
        <v>474</v>
      </c>
      <c r="D112" s="13" t="s">
        <v>489</v>
      </c>
      <c r="E112" s="13" t="s">
        <v>490</v>
      </c>
      <c r="F112" s="13"/>
      <c r="G112" s="13" t="s">
        <v>491</v>
      </c>
      <c r="H112" s="13" t="s">
        <v>473</v>
      </c>
    </row>
    <row r="113" spans="1:8" x14ac:dyDescent="0.2">
      <c r="C113" s="39">
        <v>0.05</v>
      </c>
      <c r="D113" s="39">
        <v>0.12</v>
      </c>
      <c r="E113" s="39">
        <v>0.44</v>
      </c>
      <c r="F113" s="4"/>
      <c r="G113" s="39">
        <v>0.68</v>
      </c>
      <c r="H113" s="10">
        <v>0.91</v>
      </c>
    </row>
    <row r="115" spans="1:8" x14ac:dyDescent="0.2">
      <c r="A115" s="12" t="s">
        <v>4</v>
      </c>
      <c r="B115" s="1" t="s">
        <v>493</v>
      </c>
    </row>
    <row r="117" spans="1:8" x14ac:dyDescent="0.2">
      <c r="B117" s="1" t="s">
        <v>496</v>
      </c>
    </row>
    <row r="119" spans="1:8" x14ac:dyDescent="0.2">
      <c r="B119" s="1" t="s">
        <v>494</v>
      </c>
    </row>
    <row r="120" spans="1:8" x14ac:dyDescent="0.2">
      <c r="B120" s="1" t="s">
        <v>495</v>
      </c>
      <c r="C120" s="19">
        <f>0.91 * 0.68 * 0.44/ (0.44^2)</f>
        <v>1.4063636363636365</v>
      </c>
    </row>
    <row r="122" spans="1:8" x14ac:dyDescent="0.2">
      <c r="A122" s="12" t="s">
        <v>5</v>
      </c>
      <c r="B122" s="1" t="s">
        <v>497</v>
      </c>
      <c r="D122" s="57">
        <f>0.05+C120*(0.12-0.05)</f>
        <v>0.14844545454545455</v>
      </c>
    </row>
    <row r="126" spans="1:8" x14ac:dyDescent="0.2">
      <c r="A126" s="11">
        <v>6</v>
      </c>
      <c r="B126" s="5"/>
      <c r="C126" s="5"/>
      <c r="D126" s="5"/>
      <c r="E126" s="5"/>
      <c r="F126" s="5"/>
      <c r="G126" s="5"/>
      <c r="H126" s="5"/>
    </row>
    <row r="128" spans="1:8" x14ac:dyDescent="0.2">
      <c r="C128" s="13" t="s">
        <v>112</v>
      </c>
      <c r="D128" s="13" t="s">
        <v>113</v>
      </c>
    </row>
    <row r="129" spans="1:4" x14ac:dyDescent="0.2">
      <c r="B129" s="1" t="s">
        <v>492</v>
      </c>
      <c r="C129" s="4">
        <v>1.6</v>
      </c>
      <c r="D129" s="4">
        <v>1.2</v>
      </c>
    </row>
    <row r="130" spans="1:4" x14ac:dyDescent="0.2">
      <c r="B130" s="1" t="s">
        <v>472</v>
      </c>
      <c r="C130" s="39">
        <v>0.21</v>
      </c>
      <c r="D130" s="39">
        <v>0.17</v>
      </c>
    </row>
    <row r="132" spans="1:4" x14ac:dyDescent="0.2">
      <c r="A132" s="12" t="s">
        <v>4</v>
      </c>
      <c r="B132" s="1" t="s">
        <v>498</v>
      </c>
    </row>
    <row r="133" spans="1:4" x14ac:dyDescent="0.2">
      <c r="B133" s="1" t="s">
        <v>501</v>
      </c>
    </row>
    <row r="134" spans="1:4" x14ac:dyDescent="0.2">
      <c r="B134" s="1" t="s">
        <v>502</v>
      </c>
    </row>
    <row r="136" spans="1:4" x14ac:dyDescent="0.2">
      <c r="B136" s="1" t="s">
        <v>499</v>
      </c>
    </row>
    <row r="137" spans="1:4" x14ac:dyDescent="0.2">
      <c r="B137" s="1" t="s">
        <v>500</v>
      </c>
    </row>
    <row r="139" spans="1:4" x14ac:dyDescent="0.2">
      <c r="B139" s="1" t="s">
        <v>503</v>
      </c>
      <c r="C139" s="15">
        <f>0.04/0.4</f>
        <v>9.9999999999999992E-2</v>
      </c>
    </row>
    <row r="141" spans="1:4" x14ac:dyDescent="0.2">
      <c r="B141" s="1" t="s">
        <v>504</v>
      </c>
    </row>
    <row r="142" spans="1:4" x14ac:dyDescent="0.2">
      <c r="B142" s="1" t="s">
        <v>505</v>
      </c>
      <c r="C142" s="15">
        <f>0.21-1.6*0.1</f>
        <v>4.9999999999999961E-2</v>
      </c>
    </row>
    <row r="144" spans="1:4" x14ac:dyDescent="0.2">
      <c r="A144" s="12" t="s">
        <v>5</v>
      </c>
      <c r="B144" s="1" t="s">
        <v>506</v>
      </c>
    </row>
    <row r="145" spans="1:8" x14ac:dyDescent="0.2">
      <c r="B145" s="1" t="s">
        <v>472</v>
      </c>
      <c r="C145" s="31">
        <f>C142+1.4*(C139)</f>
        <v>0.18999999999999995</v>
      </c>
    </row>
    <row r="147" spans="1:8" x14ac:dyDescent="0.2">
      <c r="B147" s="1" t="s">
        <v>507</v>
      </c>
    </row>
    <row r="148" spans="1:8" x14ac:dyDescent="0.2">
      <c r="B148" s="1" t="s">
        <v>508</v>
      </c>
      <c r="C148" s="15">
        <f>10/50</f>
        <v>0.2</v>
      </c>
    </row>
    <row r="150" spans="1:8" x14ac:dyDescent="0.2">
      <c r="B150" s="1" t="s">
        <v>509</v>
      </c>
    </row>
    <row r="153" spans="1:8" x14ac:dyDescent="0.2">
      <c r="A153" s="11">
        <v>7</v>
      </c>
      <c r="B153" s="5"/>
      <c r="C153" s="5"/>
      <c r="D153" s="5"/>
      <c r="E153" s="5"/>
      <c r="F153" s="5"/>
      <c r="G153" s="5"/>
      <c r="H153" s="5"/>
    </row>
    <row r="155" spans="1:8" x14ac:dyDescent="0.2">
      <c r="A155" s="12" t="s">
        <v>4</v>
      </c>
      <c r="B155" s="3" t="s">
        <v>761</v>
      </c>
      <c r="C155" s="3" t="s">
        <v>762</v>
      </c>
      <c r="D155" s="3" t="s">
        <v>763</v>
      </c>
    </row>
    <row r="156" spans="1:8" x14ac:dyDescent="0.2">
      <c r="B156" s="3">
        <v>0.2</v>
      </c>
      <c r="C156" s="3">
        <v>7.0000000000000007E-2</v>
      </c>
      <c r="D156" s="3">
        <v>0.02</v>
      </c>
    </row>
    <row r="157" spans="1:8" x14ac:dyDescent="0.2">
      <c r="B157" s="3">
        <v>0.5</v>
      </c>
      <c r="C157" s="3">
        <v>0.15</v>
      </c>
      <c r="D157" s="3">
        <v>0.12</v>
      </c>
    </row>
    <row r="158" spans="1:8" x14ac:dyDescent="0.2">
      <c r="B158" s="3">
        <v>0.3</v>
      </c>
      <c r="C158" s="3">
        <v>0.09</v>
      </c>
      <c r="D158" s="3">
        <v>0.31</v>
      </c>
    </row>
    <row r="159" spans="1:8" x14ac:dyDescent="0.2">
      <c r="B159" s="3"/>
      <c r="C159" s="3"/>
      <c r="D159" s="3"/>
    </row>
    <row r="160" spans="1:8" x14ac:dyDescent="0.2">
      <c r="B160" s="3" t="s">
        <v>764</v>
      </c>
      <c r="C160" s="162">
        <f>SUMPRODUCT(C156:C158,$B$156:$B$158)</f>
        <v>0.11599999999999999</v>
      </c>
      <c r="D160" s="162">
        <f>SUMPRODUCT(D156:D158,$B$156:$B$158)</f>
        <v>0.157</v>
      </c>
    </row>
    <row r="161" spans="1:4" x14ac:dyDescent="0.2">
      <c r="B161" s="3" t="s">
        <v>481</v>
      </c>
      <c r="C161" s="162">
        <f>$B$156*(C156-C160)^2+$B$157*(C157-C160)^2+$B$158*(C158-C160)^2</f>
        <v>1.2039999999999998E-3</v>
      </c>
      <c r="D161" s="162">
        <f>$B$156*(D156-D160)^2+$B$157*(D157-D160)^2+$B$158*(D158-D160)^2</f>
        <v>1.1461000000000001E-2</v>
      </c>
    </row>
    <row r="162" spans="1:4" x14ac:dyDescent="0.2">
      <c r="B162" s="3" t="s">
        <v>765</v>
      </c>
      <c r="C162" s="162">
        <f>SQRT(C161)</f>
        <v>3.4698703145794943E-2</v>
      </c>
      <c r="D162" s="162">
        <f>SQRT(D161)</f>
        <v>0.10705606008068858</v>
      </c>
    </row>
    <row r="165" spans="1:4" x14ac:dyDescent="0.2">
      <c r="A165" s="12" t="s">
        <v>5</v>
      </c>
      <c r="B165" s="2" t="s">
        <v>775</v>
      </c>
    </row>
    <row r="166" spans="1:4" x14ac:dyDescent="0.2">
      <c r="A166" s="1"/>
      <c r="B166" s="3" t="s">
        <v>766</v>
      </c>
      <c r="C166" s="1">
        <v>0.65853658536585402</v>
      </c>
    </row>
    <row r="167" spans="1:4" x14ac:dyDescent="0.2">
      <c r="B167" s="3" t="s">
        <v>767</v>
      </c>
      <c r="C167" s="1">
        <f>C166*C160+(1-C166)*D160</f>
        <v>0.12999999999999998</v>
      </c>
    </row>
    <row r="169" spans="1:4" x14ac:dyDescent="0.2">
      <c r="A169" s="12" t="s">
        <v>6</v>
      </c>
      <c r="B169" s="1" t="s">
        <v>776</v>
      </c>
    </row>
    <row r="170" spans="1:4" x14ac:dyDescent="0.2">
      <c r="B170" s="1" t="s">
        <v>768</v>
      </c>
      <c r="C170" s="1">
        <f>(0.157-0.116)</f>
        <v>4.0999999999999995E-2</v>
      </c>
    </row>
    <row r="171" spans="1:4" x14ac:dyDescent="0.2">
      <c r="B171" s="1" t="s">
        <v>769</v>
      </c>
      <c r="C171" s="1">
        <f>0.116-1.5*C170</f>
        <v>5.4500000000000014E-2</v>
      </c>
    </row>
    <row r="173" spans="1:4" x14ac:dyDescent="0.2">
      <c r="B173" s="1" t="s">
        <v>770</v>
      </c>
    </row>
    <row r="174" spans="1:4" x14ac:dyDescent="0.2">
      <c r="B174" s="2" t="s">
        <v>771</v>
      </c>
    </row>
    <row r="175" spans="1:4" x14ac:dyDescent="0.2">
      <c r="B175" s="1" t="s">
        <v>772</v>
      </c>
      <c r="D175" s="1">
        <f>(0.13-C171)/C170</f>
        <v>1.8414634146341462</v>
      </c>
    </row>
    <row r="177" spans="1:14" x14ac:dyDescent="0.2">
      <c r="B177" s="2" t="s">
        <v>773</v>
      </c>
    </row>
    <row r="178" spans="1:14" x14ac:dyDescent="0.2">
      <c r="B178" s="1" t="s">
        <v>492</v>
      </c>
      <c r="C178" s="1">
        <f>C166*1.5+(1-C166)*2.5</f>
        <v>1.841463414634146</v>
      </c>
    </row>
    <row r="180" spans="1:14" x14ac:dyDescent="0.2">
      <c r="A180" s="12" t="s">
        <v>12</v>
      </c>
      <c r="B180" s="1" t="s">
        <v>774</v>
      </c>
    </row>
    <row r="185" spans="1:14" x14ac:dyDescent="0.2">
      <c r="A185" s="11">
        <v>8</v>
      </c>
      <c r="B185" s="5"/>
      <c r="C185" s="5"/>
      <c r="D185" s="5"/>
      <c r="E185" s="5"/>
      <c r="F185" s="5"/>
      <c r="G185" s="5"/>
      <c r="H185" s="5"/>
    </row>
    <row r="187" spans="1:14" x14ac:dyDescent="0.2">
      <c r="A187" s="12" t="s">
        <v>4</v>
      </c>
      <c r="B187" s="1" t="s">
        <v>510</v>
      </c>
    </row>
    <row r="189" spans="1:14" x14ac:dyDescent="0.2">
      <c r="A189" s="12" t="s">
        <v>5</v>
      </c>
      <c r="B189" s="1" t="s">
        <v>511</v>
      </c>
    </row>
    <row r="191" spans="1:14" ht="16" customHeight="1" x14ac:dyDescent="0.2">
      <c r="B191" s="168" t="s">
        <v>512</v>
      </c>
      <c r="C191" s="169"/>
      <c r="D191" s="169"/>
      <c r="E191" s="169"/>
      <c r="F191" s="169"/>
      <c r="G191" s="169"/>
      <c r="H191" s="169"/>
      <c r="I191" s="169"/>
      <c r="J191" s="169"/>
      <c r="K191" s="169"/>
      <c r="L191" s="169"/>
      <c r="M191" s="169"/>
      <c r="N191" s="169"/>
    </row>
    <row r="192" spans="1:14" x14ac:dyDescent="0.2">
      <c r="B192" s="168"/>
      <c r="C192" s="169"/>
      <c r="D192" s="169"/>
      <c r="E192" s="169"/>
      <c r="F192" s="169"/>
      <c r="G192" s="169"/>
      <c r="H192" s="169"/>
      <c r="I192" s="169"/>
      <c r="J192" s="169"/>
      <c r="K192" s="169"/>
      <c r="L192" s="169"/>
      <c r="M192" s="169"/>
      <c r="N192" s="169"/>
    </row>
    <row r="193" spans="1:14" x14ac:dyDescent="0.2">
      <c r="B193" s="168"/>
      <c r="C193" s="169"/>
      <c r="D193" s="169"/>
      <c r="E193" s="169"/>
      <c r="F193" s="169"/>
      <c r="G193" s="169"/>
      <c r="H193" s="169"/>
      <c r="I193" s="169"/>
      <c r="J193" s="169"/>
      <c r="K193" s="169"/>
      <c r="L193" s="169"/>
      <c r="M193" s="169"/>
      <c r="N193" s="169"/>
    </row>
    <row r="194" spans="1:14" x14ac:dyDescent="0.2">
      <c r="B194" s="168"/>
      <c r="C194" s="169"/>
      <c r="D194" s="169"/>
      <c r="E194" s="169"/>
      <c r="F194" s="169"/>
      <c r="G194" s="169"/>
      <c r="H194" s="169"/>
      <c r="I194" s="169"/>
      <c r="J194" s="169"/>
      <c r="K194" s="169"/>
      <c r="L194" s="169"/>
      <c r="M194" s="169"/>
      <c r="N194" s="169"/>
    </row>
    <row r="195" spans="1:14" x14ac:dyDescent="0.2">
      <c r="A195" s="12" t="s">
        <v>513</v>
      </c>
      <c r="C195" s="13" t="s">
        <v>479</v>
      </c>
      <c r="D195" s="13" t="s">
        <v>472</v>
      </c>
      <c r="E195" s="13" t="s">
        <v>516</v>
      </c>
      <c r="F195" s="13" t="s">
        <v>517</v>
      </c>
    </row>
    <row r="196" spans="1:14" x14ac:dyDescent="0.2">
      <c r="B196" s="1" t="s">
        <v>514</v>
      </c>
      <c r="C196" s="4">
        <v>0.5</v>
      </c>
      <c r="D196" s="4">
        <v>7.0000000000000007E-2</v>
      </c>
      <c r="E196" s="4">
        <v>0.4</v>
      </c>
      <c r="F196" s="178">
        <v>9.6000000000000002E-2</v>
      </c>
    </row>
    <row r="197" spans="1:14" x14ac:dyDescent="0.2">
      <c r="B197" s="1" t="s">
        <v>515</v>
      </c>
      <c r="C197" s="4">
        <v>0.5</v>
      </c>
      <c r="D197" s="4">
        <v>0.09</v>
      </c>
      <c r="E197" s="4">
        <v>0.4</v>
      </c>
      <c r="F197" s="178"/>
    </row>
    <row r="198" spans="1:14" x14ac:dyDescent="0.2">
      <c r="B198" s="107"/>
    </row>
    <row r="199" spans="1:14" x14ac:dyDescent="0.2">
      <c r="B199" s="1" t="s">
        <v>472</v>
      </c>
      <c r="C199" s="1">
        <f>SUMPRODUCT(C196:C197,D196:D197)</f>
        <v>0.08</v>
      </c>
    </row>
    <row r="201" spans="1:14" x14ac:dyDescent="0.2">
      <c r="A201" s="12" t="s">
        <v>518</v>
      </c>
      <c r="B201" s="1" t="s">
        <v>519</v>
      </c>
      <c r="C201" s="32">
        <f>SQRT(C196^2*E196^2+C197^2*E197^2+2*C196*C197*F196)</f>
        <v>0.35777087639996635</v>
      </c>
    </row>
    <row r="203" spans="1:14" x14ac:dyDescent="0.2">
      <c r="A203" s="12" t="s">
        <v>520</v>
      </c>
      <c r="B203" s="1" t="s">
        <v>521</v>
      </c>
    </row>
    <row r="204" spans="1:14" x14ac:dyDescent="0.2">
      <c r="B204" s="1" t="s">
        <v>522</v>
      </c>
    </row>
    <row r="206" spans="1:14" x14ac:dyDescent="0.2">
      <c r="B206" s="1" t="s">
        <v>523</v>
      </c>
      <c r="D206" s="1">
        <f>0.03+0.8*(0.06-0.03)</f>
        <v>5.3999999999999999E-2</v>
      </c>
    </row>
    <row r="287" spans="1:1" x14ac:dyDescent="0.2">
      <c r="A287" s="68"/>
    </row>
    <row r="288" spans="1:1" x14ac:dyDescent="0.2">
      <c r="A288" s="68"/>
    </row>
  </sheetData>
  <mergeCells count="7">
    <mergeCell ref="F196:F197"/>
    <mergeCell ref="B5:I10"/>
    <mergeCell ref="B11:H12"/>
    <mergeCell ref="C51:D51"/>
    <mergeCell ref="F51:G51"/>
    <mergeCell ref="B64:L65"/>
    <mergeCell ref="B191:N19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5C65-DBD9-6849-A5A4-BAB168E30C49}">
  <dimension ref="A1:L319"/>
  <sheetViews>
    <sheetView zoomScaleNormal="100" workbookViewId="0"/>
  </sheetViews>
  <sheetFormatPr baseColWidth="10" defaultRowHeight="16" x14ac:dyDescent="0.2"/>
  <cols>
    <col min="1" max="1" width="12.1640625" style="12" customWidth="1"/>
    <col min="2" max="2" width="27" style="1" customWidth="1"/>
    <col min="3" max="3" width="13.1640625" style="1" customWidth="1"/>
    <col min="4" max="4" width="20.83203125" style="1" customWidth="1"/>
    <col min="5" max="5" width="13.1640625" style="1" customWidth="1"/>
    <col min="6" max="16384" width="10.83203125" style="1"/>
  </cols>
  <sheetData>
    <row r="1" spans="1:8" x14ac:dyDescent="0.2">
      <c r="A1" s="9" t="s">
        <v>279</v>
      </c>
    </row>
    <row r="3" spans="1:8" x14ac:dyDescent="0.2">
      <c r="A3" s="11">
        <v>1</v>
      </c>
      <c r="B3" s="5"/>
      <c r="C3" s="5"/>
      <c r="D3" s="5"/>
      <c r="E3" s="5"/>
      <c r="F3" s="5"/>
      <c r="G3" s="5"/>
      <c r="H3" s="5"/>
    </row>
    <row r="5" spans="1:8" x14ac:dyDescent="0.2">
      <c r="B5" s="1" t="s">
        <v>597</v>
      </c>
      <c r="C5" s="15">
        <v>0.12</v>
      </c>
    </row>
    <row r="6" spans="1:8" x14ac:dyDescent="0.2">
      <c r="B6" s="1" t="s">
        <v>596</v>
      </c>
      <c r="C6" s="15">
        <v>0.06</v>
      </c>
    </row>
    <row r="7" spans="1:8" x14ac:dyDescent="0.2">
      <c r="B7" s="1" t="s">
        <v>598</v>
      </c>
      <c r="C7" s="15">
        <v>0.5</v>
      </c>
      <c r="D7" s="1" t="s">
        <v>660</v>
      </c>
    </row>
    <row r="8" spans="1:8" x14ac:dyDescent="0.2">
      <c r="B8" s="1" t="s">
        <v>599</v>
      </c>
      <c r="C8" s="15">
        <v>0.35</v>
      </c>
    </row>
    <row r="10" spans="1:8" x14ac:dyDescent="0.2">
      <c r="B10" s="1" t="s">
        <v>601</v>
      </c>
    </row>
    <row r="11" spans="1:8" x14ac:dyDescent="0.2">
      <c r="B11" s="1" t="s">
        <v>602</v>
      </c>
      <c r="C11" s="57">
        <f>1/(C7+1)</f>
        <v>0.66666666666666663</v>
      </c>
    </row>
    <row r="12" spans="1:8" x14ac:dyDescent="0.2">
      <c r="B12" s="1" t="s">
        <v>603</v>
      </c>
      <c r="C12" s="57">
        <f>1-C11</f>
        <v>0.33333333333333337</v>
      </c>
    </row>
    <row r="14" spans="1:8" x14ac:dyDescent="0.2">
      <c r="A14" s="12" t="s">
        <v>4</v>
      </c>
      <c r="B14" s="1" t="s">
        <v>600</v>
      </c>
      <c r="D14" s="131">
        <f>C11*C5+C12*C6*(1-C8)</f>
        <v>9.2999999999999985E-2</v>
      </c>
    </row>
    <row r="16" spans="1:8" x14ac:dyDescent="0.2">
      <c r="A16" s="12" t="s">
        <v>5</v>
      </c>
      <c r="B16" s="1" t="s">
        <v>604</v>
      </c>
    </row>
    <row r="17" spans="2:4" x14ac:dyDescent="0.2">
      <c r="B17" s="1" t="s">
        <v>605</v>
      </c>
    </row>
    <row r="19" spans="2:4" x14ac:dyDescent="0.2">
      <c r="B19" s="1" t="s">
        <v>606</v>
      </c>
    </row>
    <row r="20" spans="2:4" x14ac:dyDescent="0.2">
      <c r="B20" s="1" t="s">
        <v>607</v>
      </c>
      <c r="D20" s="57">
        <f>(0.12+0.5*0.06*(1-0.35))/(1+0.5*(1-0.35))</f>
        <v>0.10528301886792452</v>
      </c>
    </row>
    <row r="22" spans="2:4" x14ac:dyDescent="0.2">
      <c r="B22" s="1" t="s">
        <v>608</v>
      </c>
    </row>
    <row r="23" spans="2:4" x14ac:dyDescent="0.2">
      <c r="B23" s="1" t="s">
        <v>609</v>
      </c>
      <c r="D23" s="130">
        <f>D20+2*(D20-C6)*(1-C8)</f>
        <v>0.16415094339622638</v>
      </c>
    </row>
    <row r="25" spans="2:4" x14ac:dyDescent="0.2">
      <c r="B25" s="1" t="s">
        <v>612</v>
      </c>
    </row>
    <row r="26" spans="2:4" x14ac:dyDescent="0.2">
      <c r="B26" s="1" t="s">
        <v>602</v>
      </c>
      <c r="C26" s="57">
        <f>1/(2+1)</f>
        <v>0.33333333333333331</v>
      </c>
    </row>
    <row r="27" spans="2:4" x14ac:dyDescent="0.2">
      <c r="B27" s="1" t="s">
        <v>603</v>
      </c>
      <c r="C27" s="57">
        <f>1-C26</f>
        <v>0.66666666666666674</v>
      </c>
    </row>
    <row r="29" spans="2:4" x14ac:dyDescent="0.2">
      <c r="B29" s="1" t="s">
        <v>610</v>
      </c>
    </row>
    <row r="30" spans="2:4" x14ac:dyDescent="0.2">
      <c r="B30" s="1" t="s">
        <v>600</v>
      </c>
      <c r="D30" s="131">
        <f>C26*D23+C27*C6*(1-C8)</f>
        <v>8.0716981132075455E-2</v>
      </c>
    </row>
    <row r="31" spans="2:4" x14ac:dyDescent="0.2">
      <c r="D31" s="131"/>
    </row>
    <row r="32" spans="2:4" x14ac:dyDescent="0.2">
      <c r="D32" s="131"/>
    </row>
    <row r="33" spans="1:8" x14ac:dyDescent="0.2">
      <c r="D33" s="131"/>
    </row>
    <row r="34" spans="1:8" x14ac:dyDescent="0.2">
      <c r="A34" s="11">
        <v>2</v>
      </c>
      <c r="B34" s="5"/>
      <c r="C34" s="5"/>
      <c r="D34" s="5"/>
      <c r="E34" s="5"/>
      <c r="F34" s="5"/>
      <c r="G34" s="5"/>
      <c r="H34" s="5"/>
    </row>
    <row r="36" spans="1:8" x14ac:dyDescent="0.2">
      <c r="A36" s="12" t="s">
        <v>4</v>
      </c>
      <c r="B36" s="1" t="s">
        <v>613</v>
      </c>
    </row>
    <row r="38" spans="1:8" x14ac:dyDescent="0.2">
      <c r="B38" s="1" t="s">
        <v>614</v>
      </c>
    </row>
    <row r="40" spans="1:8" x14ac:dyDescent="0.2">
      <c r="B40" s="1" t="s">
        <v>615</v>
      </c>
      <c r="D40" s="79">
        <f>4000000*(1-0.35)/0.15</f>
        <v>17333333.333333336</v>
      </c>
    </row>
    <row r="41" spans="1:8" x14ac:dyDescent="0.2">
      <c r="B41" s="42" t="s">
        <v>616</v>
      </c>
      <c r="C41" s="5"/>
      <c r="D41" s="132">
        <f>0.35*10000000</f>
        <v>3500000</v>
      </c>
    </row>
    <row r="42" spans="1:8" x14ac:dyDescent="0.2">
      <c r="B42" s="1" t="s">
        <v>617</v>
      </c>
      <c r="D42" s="79">
        <f>SUM(D40:D41)</f>
        <v>20833333.333333336</v>
      </c>
    </row>
    <row r="45" spans="1:8" x14ac:dyDescent="0.2">
      <c r="A45" s="12" t="s">
        <v>5</v>
      </c>
      <c r="B45" s="1" t="s">
        <v>618</v>
      </c>
      <c r="D45" s="79">
        <f>D42-10000000</f>
        <v>10833333.333333336</v>
      </c>
    </row>
    <row r="47" spans="1:8" x14ac:dyDescent="0.2">
      <c r="B47" s="1" t="s">
        <v>609</v>
      </c>
      <c r="D47" s="57">
        <f>0.15+10000000/D45*(0.15-0.1)*(1-0.35)</f>
        <v>0.18</v>
      </c>
    </row>
    <row r="49" spans="1:8" x14ac:dyDescent="0.2">
      <c r="A49" s="12" t="s">
        <v>6</v>
      </c>
      <c r="B49" s="1" t="s">
        <v>611</v>
      </c>
      <c r="D49" s="57">
        <f>D45/(D45+10000000)*D47+10000000/(D45+10000000)*0.1*(1-0.35)</f>
        <v>0.12479999999999999</v>
      </c>
    </row>
    <row r="53" spans="1:8" x14ac:dyDescent="0.2">
      <c r="A53" s="11">
        <v>3</v>
      </c>
      <c r="B53" s="5"/>
      <c r="C53" s="5"/>
      <c r="D53" s="5"/>
      <c r="E53" s="5"/>
      <c r="F53" s="5"/>
      <c r="G53" s="5"/>
      <c r="H53" s="5"/>
    </row>
    <row r="54" spans="1:8" x14ac:dyDescent="0.2">
      <c r="B54" s="121"/>
    </row>
    <row r="55" spans="1:8" x14ac:dyDescent="0.2">
      <c r="A55" s="12" t="s">
        <v>4</v>
      </c>
      <c r="B55" s="120"/>
      <c r="C55" s="115" t="s">
        <v>563</v>
      </c>
      <c r="D55" s="115" t="s">
        <v>564</v>
      </c>
      <c r="E55" s="115" t="s">
        <v>203</v>
      </c>
      <c r="F55" s="115" t="s">
        <v>562</v>
      </c>
    </row>
    <row r="56" spans="1:8" x14ac:dyDescent="0.2">
      <c r="B56" s="122"/>
      <c r="C56" s="116">
        <v>0.5</v>
      </c>
      <c r="D56" s="117">
        <v>200</v>
      </c>
      <c r="E56" s="117">
        <v>30</v>
      </c>
      <c r="F56" s="117">
        <v>170</v>
      </c>
    </row>
    <row r="57" spans="1:8" x14ac:dyDescent="0.2">
      <c r="B57" s="122"/>
      <c r="C57" s="116">
        <v>0.5</v>
      </c>
      <c r="D57" s="117">
        <v>50</v>
      </c>
      <c r="E57" s="117">
        <v>30</v>
      </c>
      <c r="F57" s="117">
        <v>20</v>
      </c>
    </row>
    <row r="58" spans="1:8" x14ac:dyDescent="0.2">
      <c r="B58" s="123"/>
      <c r="C58" s="114"/>
      <c r="D58" s="114"/>
    </row>
    <row r="59" spans="1:8" x14ac:dyDescent="0.2">
      <c r="B59" s="120"/>
      <c r="C59" s="117" t="s">
        <v>21</v>
      </c>
      <c r="D59" s="116">
        <v>0</v>
      </c>
    </row>
    <row r="60" spans="1:8" x14ac:dyDescent="0.2">
      <c r="B60" s="120"/>
      <c r="C60" s="117" t="s">
        <v>553</v>
      </c>
      <c r="D60" s="117">
        <v>100</v>
      </c>
    </row>
    <row r="61" spans="1:8" x14ac:dyDescent="0.2">
      <c r="B61" s="120"/>
      <c r="C61" s="117" t="s">
        <v>565</v>
      </c>
      <c r="D61" s="117">
        <v>30</v>
      </c>
    </row>
    <row r="62" spans="1:8" x14ac:dyDescent="0.2">
      <c r="B62" s="120"/>
      <c r="C62" s="119"/>
    </row>
    <row r="63" spans="1:8" x14ac:dyDescent="0.2">
      <c r="B63" s="120"/>
      <c r="C63" s="118"/>
    </row>
    <row r="64" spans="1:8" x14ac:dyDescent="0.2">
      <c r="B64" s="124" t="s">
        <v>566</v>
      </c>
      <c r="C64" s="118"/>
      <c r="F64" s="1">
        <f xml:space="preserve"> (0.5 * 20 + 0.5 * 170)</f>
        <v>95</v>
      </c>
    </row>
    <row r="65" spans="1:7" x14ac:dyDescent="0.2">
      <c r="B65" s="125" t="s">
        <v>559</v>
      </c>
      <c r="C65" s="126"/>
      <c r="D65" s="5"/>
      <c r="E65" s="5"/>
      <c r="F65" s="5">
        <v>30</v>
      </c>
    </row>
    <row r="66" spans="1:7" x14ac:dyDescent="0.2">
      <c r="B66" s="121" t="s">
        <v>560</v>
      </c>
      <c r="F66" s="1">
        <f>SUM(F64:F65)</f>
        <v>125</v>
      </c>
    </row>
    <row r="67" spans="1:7" x14ac:dyDescent="0.2">
      <c r="B67" s="121"/>
    </row>
    <row r="68" spans="1:7" x14ac:dyDescent="0.2">
      <c r="B68" s="121" t="s">
        <v>658</v>
      </c>
    </row>
    <row r="69" spans="1:7" x14ac:dyDescent="0.2">
      <c r="B69" s="121"/>
    </row>
    <row r="70" spans="1:7" x14ac:dyDescent="0.2">
      <c r="B70" s="121" t="s">
        <v>659</v>
      </c>
    </row>
    <row r="71" spans="1:7" x14ac:dyDescent="0.2">
      <c r="B71" s="121"/>
    </row>
    <row r="72" spans="1:7" x14ac:dyDescent="0.2">
      <c r="B72" s="121" t="s">
        <v>567</v>
      </c>
    </row>
    <row r="73" spans="1:7" x14ac:dyDescent="0.2">
      <c r="B73" s="121"/>
    </row>
    <row r="74" spans="1:7" x14ac:dyDescent="0.2">
      <c r="A74" s="12" t="s">
        <v>5</v>
      </c>
      <c r="B74" s="121"/>
      <c r="C74" s="115" t="s">
        <v>563</v>
      </c>
      <c r="D74" s="115" t="s">
        <v>564</v>
      </c>
      <c r="E74" s="115" t="s">
        <v>568</v>
      </c>
      <c r="F74" s="115" t="s">
        <v>569</v>
      </c>
      <c r="G74" s="115" t="s">
        <v>562</v>
      </c>
    </row>
    <row r="75" spans="1:7" x14ac:dyDescent="0.2">
      <c r="C75" s="116">
        <v>0.5</v>
      </c>
      <c r="D75" s="117">
        <v>200</v>
      </c>
      <c r="E75" s="117">
        <v>30</v>
      </c>
      <c r="F75" s="117">
        <v>30</v>
      </c>
      <c r="G75" s="117">
        <v>140</v>
      </c>
    </row>
    <row r="76" spans="1:7" x14ac:dyDescent="0.2">
      <c r="C76" s="116">
        <v>0.5</v>
      </c>
      <c r="D76" s="117">
        <v>50</v>
      </c>
      <c r="E76" s="117">
        <v>30</v>
      </c>
      <c r="F76" s="117">
        <v>20</v>
      </c>
      <c r="G76" s="117">
        <v>0</v>
      </c>
    </row>
    <row r="78" spans="1:7" x14ac:dyDescent="0.2">
      <c r="B78" s="1" t="s">
        <v>570</v>
      </c>
      <c r="F78" s="1">
        <f xml:space="preserve"> (50% * 0 + 50% * 140)</f>
        <v>70</v>
      </c>
    </row>
    <row r="79" spans="1:7" x14ac:dyDescent="0.2">
      <c r="B79" s="1" t="s">
        <v>571</v>
      </c>
      <c r="F79" s="1">
        <v>30</v>
      </c>
    </row>
    <row r="80" spans="1:7" x14ac:dyDescent="0.2">
      <c r="B80" s="42" t="s">
        <v>572</v>
      </c>
      <c r="C80" s="5"/>
      <c r="D80" s="5"/>
      <c r="E80" s="5"/>
      <c r="F80" s="5">
        <v>25</v>
      </c>
    </row>
    <row r="81" spans="2:10" x14ac:dyDescent="0.2">
      <c r="B81" s="121" t="s">
        <v>560</v>
      </c>
      <c r="F81" s="1">
        <f>SUM(F78:F80)</f>
        <v>125</v>
      </c>
    </row>
    <row r="83" spans="2:10" x14ac:dyDescent="0.2">
      <c r="B83" s="127" t="s">
        <v>573</v>
      </c>
    </row>
    <row r="85" spans="2:10" ht="16" customHeight="1" x14ac:dyDescent="0.2">
      <c r="B85" s="179" t="s">
        <v>672</v>
      </c>
      <c r="C85" s="180"/>
      <c r="D85" s="180"/>
      <c r="E85" s="180"/>
      <c r="F85" s="180"/>
      <c r="G85" s="180"/>
      <c r="H85" s="180"/>
      <c r="I85" s="180"/>
      <c r="J85" s="180"/>
    </row>
    <row r="86" spans="2:10" x14ac:dyDescent="0.2">
      <c r="B86" s="179"/>
      <c r="C86" s="180"/>
      <c r="D86" s="180"/>
      <c r="E86" s="180"/>
      <c r="F86" s="180"/>
      <c r="G86" s="180"/>
      <c r="H86" s="180"/>
      <c r="I86" s="180"/>
      <c r="J86" s="180"/>
    </row>
    <row r="87" spans="2:10" x14ac:dyDescent="0.2">
      <c r="B87" s="179"/>
      <c r="C87" s="180"/>
      <c r="D87" s="180"/>
      <c r="E87" s="180"/>
      <c r="F87" s="180"/>
      <c r="G87" s="180"/>
      <c r="H87" s="180"/>
      <c r="I87" s="180"/>
      <c r="J87" s="180"/>
    </row>
    <row r="89" spans="2:10" x14ac:dyDescent="0.2">
      <c r="B89" s="1" t="s">
        <v>574</v>
      </c>
    </row>
    <row r="90" spans="2:10" x14ac:dyDescent="0.2">
      <c r="B90" s="1" t="s">
        <v>576</v>
      </c>
    </row>
    <row r="91" spans="2:10" x14ac:dyDescent="0.2">
      <c r="B91" s="1" t="s">
        <v>575</v>
      </c>
    </row>
    <row r="93" spans="2:10" x14ac:dyDescent="0.2">
      <c r="B93" s="1" t="s">
        <v>665</v>
      </c>
    </row>
    <row r="94" spans="2:10" x14ac:dyDescent="0.2">
      <c r="B94" s="1" t="s">
        <v>578</v>
      </c>
    </row>
    <row r="95" spans="2:10" x14ac:dyDescent="0.2">
      <c r="B95" s="1" t="s">
        <v>577</v>
      </c>
    </row>
    <row r="97" spans="1:8" x14ac:dyDescent="0.2">
      <c r="B97" s="1" t="s">
        <v>394</v>
      </c>
    </row>
    <row r="98" spans="1:8" x14ac:dyDescent="0.2">
      <c r="B98" s="1" t="s">
        <v>579</v>
      </c>
    </row>
    <row r="99" spans="1:8" x14ac:dyDescent="0.2">
      <c r="B99" s="1" t="s">
        <v>580</v>
      </c>
    </row>
    <row r="101" spans="1:8" x14ac:dyDescent="0.2">
      <c r="B101" s="1" t="s">
        <v>581</v>
      </c>
    </row>
    <row r="104" spans="1:8" x14ac:dyDescent="0.2">
      <c r="A104" s="11">
        <v>4</v>
      </c>
      <c r="B104" s="5"/>
      <c r="C104" s="5"/>
      <c r="D104" s="5"/>
      <c r="E104" s="5"/>
      <c r="F104" s="5"/>
      <c r="G104" s="5"/>
      <c r="H104" s="5"/>
    </row>
    <row r="106" spans="1:8" x14ac:dyDescent="0.2">
      <c r="A106" s="12" t="s">
        <v>4</v>
      </c>
      <c r="B106" s="2" t="s">
        <v>619</v>
      </c>
    </row>
    <row r="107" spans="1:8" x14ac:dyDescent="0.2">
      <c r="B107" s="1" t="s">
        <v>620</v>
      </c>
      <c r="D107" s="1">
        <f>2000*(1-0)</f>
        <v>2000</v>
      </c>
    </row>
    <row r="109" spans="1:8" x14ac:dyDescent="0.2">
      <c r="B109" s="2" t="s">
        <v>621</v>
      </c>
    </row>
    <row r="110" spans="1:8" x14ac:dyDescent="0.2">
      <c r="B110" s="1" t="s">
        <v>634</v>
      </c>
      <c r="D110" s="1">
        <f>(2000-0.05*8000)*(1-0)</f>
        <v>1600</v>
      </c>
    </row>
    <row r="112" spans="1:8" x14ac:dyDescent="0.2">
      <c r="A112" s="12" t="s">
        <v>5</v>
      </c>
      <c r="B112" s="2" t="s">
        <v>661</v>
      </c>
    </row>
    <row r="113" spans="1:6" x14ac:dyDescent="0.2">
      <c r="B113" s="1" t="s">
        <v>622</v>
      </c>
    </row>
    <row r="114" spans="1:6" x14ac:dyDescent="0.2">
      <c r="B114" s="1" t="s">
        <v>623</v>
      </c>
      <c r="E114" s="1">
        <f>0.1*D110</f>
        <v>160</v>
      </c>
    </row>
    <row r="116" spans="1:6" x14ac:dyDescent="0.2">
      <c r="B116" s="2" t="s">
        <v>624</v>
      </c>
    </row>
    <row r="117" spans="1:6" x14ac:dyDescent="0.2">
      <c r="B117" s="1" t="s">
        <v>625</v>
      </c>
    </row>
    <row r="118" spans="1:6" x14ac:dyDescent="0.2">
      <c r="B118" s="1" t="s">
        <v>626</v>
      </c>
      <c r="E118" s="1">
        <f>0.1*2000-0.05*800</f>
        <v>160</v>
      </c>
    </row>
    <row r="120" spans="1:6" x14ac:dyDescent="0.2">
      <c r="A120" s="12" t="s">
        <v>6</v>
      </c>
      <c r="B120" s="2" t="s">
        <v>619</v>
      </c>
    </row>
    <row r="121" spans="1:6" x14ac:dyDescent="0.2">
      <c r="B121" s="1" t="s">
        <v>627</v>
      </c>
    </row>
    <row r="123" spans="1:6" x14ac:dyDescent="0.2">
      <c r="B123" s="2" t="s">
        <v>621</v>
      </c>
    </row>
    <row r="124" spans="1:6" x14ac:dyDescent="0.2">
      <c r="B124" s="1" t="s">
        <v>628</v>
      </c>
      <c r="D124" s="15">
        <f>1600/12000</f>
        <v>0.13333333333333333</v>
      </c>
      <c r="E124" s="3" t="s">
        <v>629</v>
      </c>
      <c r="F124" s="15">
        <f>0.1+(0.1-0.05)*8000/12000</f>
        <v>0.13333333333333333</v>
      </c>
    </row>
    <row r="125" spans="1:6" x14ac:dyDescent="0.2">
      <c r="B125" s="1" t="s">
        <v>631</v>
      </c>
      <c r="D125" s="15">
        <f>2000/20000</f>
        <v>0.1</v>
      </c>
      <c r="E125" s="3" t="s">
        <v>629</v>
      </c>
      <c r="F125" s="15">
        <f>12000/20000*F124+8000/20000*0.05 *(1-0)</f>
        <v>0.1</v>
      </c>
    </row>
    <row r="127" spans="1:6" x14ac:dyDescent="0.2">
      <c r="A127" s="12" t="s">
        <v>12</v>
      </c>
      <c r="B127" s="2" t="s">
        <v>619</v>
      </c>
    </row>
    <row r="128" spans="1:6" x14ac:dyDescent="0.2">
      <c r="B128" s="1" t="s">
        <v>664</v>
      </c>
    </row>
    <row r="129" spans="1:8" x14ac:dyDescent="0.2">
      <c r="B129" s="1" t="s">
        <v>627</v>
      </c>
    </row>
    <row r="131" spans="1:8" x14ac:dyDescent="0.2">
      <c r="B131" s="2" t="s">
        <v>621</v>
      </c>
    </row>
    <row r="132" spans="1:8" x14ac:dyDescent="0.2">
      <c r="B132" s="1" t="s">
        <v>662</v>
      </c>
    </row>
    <row r="133" spans="1:8" x14ac:dyDescent="0.2">
      <c r="B133" s="1" t="s">
        <v>630</v>
      </c>
      <c r="C133" s="1">
        <f>20000+0.4*8000</f>
        <v>23200</v>
      </c>
    </row>
    <row r="134" spans="1:8" x14ac:dyDescent="0.2">
      <c r="B134" s="1" t="s">
        <v>618</v>
      </c>
      <c r="C134" s="1">
        <f>C133-8000</f>
        <v>15200</v>
      </c>
    </row>
    <row r="136" spans="1:8" x14ac:dyDescent="0.2">
      <c r="B136" s="1" t="s">
        <v>633</v>
      </c>
      <c r="D136" s="57">
        <f>(2000-0.05*8000*(1-0.4))/15200</f>
        <v>0.11578947368421053</v>
      </c>
      <c r="E136" s="3" t="s">
        <v>629</v>
      </c>
      <c r="F136" s="57">
        <f>0.1+(0.1-0.05)*8000/C134 * (1-0.4)</f>
        <v>0.11578947368421053</v>
      </c>
    </row>
    <row r="137" spans="1:8" x14ac:dyDescent="0.2">
      <c r="B137" s="1" t="s">
        <v>632</v>
      </c>
      <c r="D137" s="57">
        <f>2000/23200</f>
        <v>8.6206896551724144E-2</v>
      </c>
      <c r="E137" s="3" t="s">
        <v>629</v>
      </c>
      <c r="F137" s="57">
        <f>C134/C133*F136+8000/C133*0.05 *(1-0.4)</f>
        <v>8.6206896551724144E-2</v>
      </c>
    </row>
    <row r="139" spans="1:8" x14ac:dyDescent="0.2">
      <c r="B139" s="1" t="s">
        <v>663</v>
      </c>
    </row>
    <row r="141" spans="1:8" x14ac:dyDescent="0.2">
      <c r="A141" s="11">
        <v>5</v>
      </c>
      <c r="B141" s="5"/>
      <c r="C141" s="5"/>
      <c r="D141" s="5"/>
      <c r="E141" s="5"/>
      <c r="F141" s="5"/>
      <c r="G141" s="5"/>
      <c r="H141" s="5"/>
    </row>
    <row r="142" spans="1:8" ht="17" thickBot="1" x14ac:dyDescent="0.25"/>
    <row r="143" spans="1:8" ht="28" customHeight="1" thickBot="1" x14ac:dyDescent="0.25">
      <c r="A143" s="12" t="s">
        <v>4</v>
      </c>
      <c r="C143" s="181" t="s">
        <v>582</v>
      </c>
      <c r="D143" s="182"/>
    </row>
    <row r="144" spans="1:8" ht="31" thickBot="1" x14ac:dyDescent="0.25">
      <c r="C144" s="128" t="s">
        <v>583</v>
      </c>
      <c r="D144" s="129" t="s">
        <v>584</v>
      </c>
    </row>
    <row r="145" spans="1:10" ht="31" thickBot="1" x14ac:dyDescent="0.25">
      <c r="C145" s="128" t="s">
        <v>585</v>
      </c>
      <c r="D145" s="129" t="s">
        <v>586</v>
      </c>
    </row>
    <row r="147" spans="1:10" x14ac:dyDescent="0.2">
      <c r="B147" s="1" t="s">
        <v>587</v>
      </c>
    </row>
    <row r="149" spans="1:10" x14ac:dyDescent="0.2">
      <c r="A149" s="12" t="s">
        <v>5</v>
      </c>
      <c r="B149" s="168" t="s">
        <v>588</v>
      </c>
      <c r="C149" s="169"/>
      <c r="D149" s="169"/>
      <c r="E149" s="169"/>
      <c r="F149" s="169"/>
      <c r="G149" s="169"/>
      <c r="H149" s="169"/>
      <c r="I149" s="169"/>
      <c r="J149" s="169"/>
    </row>
    <row r="150" spans="1:10" x14ac:dyDescent="0.2">
      <c r="B150" s="168"/>
      <c r="C150" s="169"/>
      <c r="D150" s="169"/>
      <c r="E150" s="169"/>
      <c r="F150" s="169"/>
      <c r="G150" s="169"/>
      <c r="H150" s="169"/>
      <c r="I150" s="169"/>
      <c r="J150" s="169"/>
    </row>
    <row r="151" spans="1:10" x14ac:dyDescent="0.2">
      <c r="B151" s="168"/>
      <c r="C151" s="169"/>
      <c r="D151" s="169"/>
      <c r="E151" s="169"/>
      <c r="F151" s="169"/>
      <c r="G151" s="169"/>
      <c r="H151" s="169"/>
      <c r="I151" s="169"/>
      <c r="J151" s="169"/>
    </row>
    <row r="153" spans="1:10" x14ac:dyDescent="0.2">
      <c r="B153" s="1" t="s">
        <v>589</v>
      </c>
    </row>
    <row r="155" spans="1:10" x14ac:dyDescent="0.2">
      <c r="B155" s="1" t="s">
        <v>590</v>
      </c>
    </row>
    <row r="157" spans="1:10" x14ac:dyDescent="0.2">
      <c r="B157" s="1" t="s">
        <v>591</v>
      </c>
    </row>
    <row r="158" spans="1:10" x14ac:dyDescent="0.2">
      <c r="B158" s="1" t="s">
        <v>802</v>
      </c>
    </row>
    <row r="159" spans="1:10" ht="17" thickBot="1" x14ac:dyDescent="0.25"/>
    <row r="160" spans="1:10" ht="29" customHeight="1" thickBot="1" x14ac:dyDescent="0.25">
      <c r="C160" s="181" t="s">
        <v>592</v>
      </c>
      <c r="D160" s="182"/>
    </row>
    <row r="161" spans="1:4" ht="31" thickBot="1" x14ac:dyDescent="0.25">
      <c r="C161" s="128" t="s">
        <v>583</v>
      </c>
      <c r="D161" s="183" t="s">
        <v>804</v>
      </c>
    </row>
    <row r="162" spans="1:4" ht="31" thickBot="1" x14ac:dyDescent="0.25">
      <c r="C162" s="128" t="s">
        <v>803</v>
      </c>
      <c r="D162" s="184"/>
    </row>
    <row r="164" spans="1:4" x14ac:dyDescent="0.2">
      <c r="B164" s="1" t="s">
        <v>805</v>
      </c>
    </row>
    <row r="166" spans="1:4" x14ac:dyDescent="0.2">
      <c r="A166" s="12" t="s">
        <v>6</v>
      </c>
      <c r="B166" s="1" t="s">
        <v>806</v>
      </c>
    </row>
    <row r="167" spans="1:4" x14ac:dyDescent="0.2">
      <c r="B167" s="1" t="s">
        <v>807</v>
      </c>
    </row>
    <row r="168" spans="1:4" ht="17" thickBot="1" x14ac:dyDescent="0.25"/>
    <row r="169" spans="1:4" ht="28" customHeight="1" thickBot="1" x14ac:dyDescent="0.25">
      <c r="A169" s="12" t="s">
        <v>12</v>
      </c>
      <c r="C169" s="181" t="s">
        <v>593</v>
      </c>
      <c r="D169" s="182"/>
    </row>
    <row r="170" spans="1:4" ht="31" thickBot="1" x14ac:dyDescent="0.25">
      <c r="C170" s="128" t="s">
        <v>583</v>
      </c>
      <c r="D170" s="129" t="s">
        <v>808</v>
      </c>
    </row>
    <row r="171" spans="1:4" ht="31" thickBot="1" x14ac:dyDescent="0.25">
      <c r="C171" s="128" t="s">
        <v>803</v>
      </c>
      <c r="D171" s="129" t="s">
        <v>594</v>
      </c>
    </row>
    <row r="173" spans="1:4" x14ac:dyDescent="0.2">
      <c r="B173" s="1" t="s">
        <v>809</v>
      </c>
    </row>
    <row r="175" spans="1:4" x14ac:dyDescent="0.2">
      <c r="B175" s="1" t="s">
        <v>595</v>
      </c>
    </row>
    <row r="178" spans="1:10" x14ac:dyDescent="0.2">
      <c r="B178" s="138"/>
    </row>
    <row r="179" spans="1:10" x14ac:dyDescent="0.2">
      <c r="A179" s="11">
        <v>6</v>
      </c>
      <c r="B179" s="5"/>
      <c r="C179" s="5"/>
      <c r="D179" s="5"/>
      <c r="E179" s="5"/>
      <c r="F179" s="5"/>
      <c r="G179" s="5"/>
      <c r="H179" s="5"/>
    </row>
    <row r="181" spans="1:10" x14ac:dyDescent="0.2">
      <c r="A181" s="12" t="s">
        <v>4</v>
      </c>
      <c r="B181" s="1" t="s">
        <v>546</v>
      </c>
    </row>
    <row r="182" spans="1:10" x14ac:dyDescent="0.2">
      <c r="B182" s="1" t="s">
        <v>547</v>
      </c>
    </row>
    <row r="184" spans="1:10" x14ac:dyDescent="0.2">
      <c r="B184" s="168" t="s">
        <v>548</v>
      </c>
      <c r="C184" s="169"/>
      <c r="D184" s="169"/>
      <c r="E184" s="169"/>
      <c r="F184" s="169"/>
      <c r="G184" s="169"/>
      <c r="H184" s="169"/>
      <c r="I184" s="169"/>
      <c r="J184" s="169"/>
    </row>
    <row r="185" spans="1:10" x14ac:dyDescent="0.2">
      <c r="B185" s="168"/>
      <c r="C185" s="169"/>
      <c r="D185" s="169"/>
      <c r="E185" s="169"/>
      <c r="F185" s="169"/>
      <c r="G185" s="169"/>
      <c r="H185" s="169"/>
      <c r="I185" s="169"/>
      <c r="J185" s="169"/>
    </row>
    <row r="187" spans="1:10" x14ac:dyDescent="0.2">
      <c r="B187" s="109"/>
      <c r="C187" s="110" t="s">
        <v>549</v>
      </c>
      <c r="D187" s="110" t="s">
        <v>550</v>
      </c>
    </row>
    <row r="188" spans="1:10" x14ac:dyDescent="0.2">
      <c r="B188" s="111" t="s">
        <v>551</v>
      </c>
      <c r="C188" s="112">
        <v>35</v>
      </c>
      <c r="D188" s="112">
        <v>35</v>
      </c>
    </row>
    <row r="189" spans="1:10" x14ac:dyDescent="0.2">
      <c r="B189" s="111" t="s">
        <v>203</v>
      </c>
      <c r="C189" s="112">
        <v>150</v>
      </c>
      <c r="D189" s="112">
        <v>0</v>
      </c>
    </row>
    <row r="190" spans="1:10" x14ac:dyDescent="0.2">
      <c r="B190" s="111" t="s">
        <v>552</v>
      </c>
      <c r="C190" s="113">
        <v>7.0000000000000007E-2</v>
      </c>
      <c r="D190" s="112" t="s">
        <v>199</v>
      </c>
    </row>
    <row r="191" spans="1:10" x14ac:dyDescent="0.2">
      <c r="B191" s="111" t="s">
        <v>553</v>
      </c>
      <c r="C191" s="112" t="s">
        <v>554</v>
      </c>
      <c r="D191" s="112" t="s">
        <v>555</v>
      </c>
    </row>
    <row r="192" spans="1:10" x14ac:dyDescent="0.2">
      <c r="B192" s="111" t="s">
        <v>556</v>
      </c>
      <c r="C192" s="112">
        <v>115</v>
      </c>
      <c r="D192" s="112">
        <v>86</v>
      </c>
    </row>
    <row r="193" spans="1:4" x14ac:dyDescent="0.2">
      <c r="B193" s="111" t="s">
        <v>557</v>
      </c>
      <c r="C193" s="113">
        <v>0</v>
      </c>
      <c r="D193" s="113">
        <v>0</v>
      </c>
    </row>
    <row r="194" spans="1:4" x14ac:dyDescent="0.2">
      <c r="B194" s="111"/>
      <c r="C194" s="112"/>
      <c r="D194" s="112"/>
    </row>
    <row r="195" spans="1:4" x14ac:dyDescent="0.2">
      <c r="B195" s="111" t="s">
        <v>558</v>
      </c>
      <c r="C195" s="112">
        <v>172.5</v>
      </c>
      <c r="D195" s="112">
        <v>309.60000000000002</v>
      </c>
    </row>
    <row r="196" spans="1:4" x14ac:dyDescent="0.2">
      <c r="B196" s="111" t="s">
        <v>559</v>
      </c>
      <c r="C196" s="112">
        <v>150</v>
      </c>
      <c r="D196" s="112">
        <v>0</v>
      </c>
    </row>
    <row r="197" spans="1:4" x14ac:dyDescent="0.2">
      <c r="B197" s="111" t="s">
        <v>560</v>
      </c>
      <c r="C197" s="112">
        <v>322.5</v>
      </c>
      <c r="D197" s="112">
        <v>309.60000000000002</v>
      </c>
    </row>
    <row r="199" spans="1:4" x14ac:dyDescent="0.2">
      <c r="B199" s="1" t="s">
        <v>561</v>
      </c>
    </row>
    <row r="201" spans="1:4" x14ac:dyDescent="0.2">
      <c r="A201" s="12" t="s">
        <v>5</v>
      </c>
      <c r="B201" s="77" t="s">
        <v>673</v>
      </c>
    </row>
    <row r="203" spans="1:4" x14ac:dyDescent="0.2">
      <c r="B203" s="1" t="s">
        <v>674</v>
      </c>
    </row>
    <row r="204" spans="1:4" x14ac:dyDescent="0.2">
      <c r="B204" s="7" t="s">
        <v>675</v>
      </c>
    </row>
    <row r="205" spans="1:4" x14ac:dyDescent="0.2">
      <c r="B205" s="143" t="s">
        <v>676</v>
      </c>
    </row>
    <row r="206" spans="1:4" x14ac:dyDescent="0.2">
      <c r="B206" s="146" t="s">
        <v>677</v>
      </c>
    </row>
    <row r="207" spans="1:4" x14ac:dyDescent="0.2">
      <c r="B207" s="147" t="s">
        <v>678</v>
      </c>
    </row>
    <row r="209" spans="1:12" x14ac:dyDescent="0.2">
      <c r="B209" s="1" t="s">
        <v>679</v>
      </c>
    </row>
    <row r="210" spans="1:12" x14ac:dyDescent="0.2">
      <c r="B210" s="139"/>
      <c r="C210" s="141" t="s">
        <v>681</v>
      </c>
      <c r="D210" s="139" t="s">
        <v>682</v>
      </c>
      <c r="E210" s="139" t="s">
        <v>683</v>
      </c>
      <c r="F210" s="139" t="s">
        <v>108</v>
      </c>
    </row>
    <row r="211" spans="1:12" x14ac:dyDescent="0.2">
      <c r="B211" s="140" t="s">
        <v>680</v>
      </c>
      <c r="C211" s="145">
        <v>-1</v>
      </c>
      <c r="D211" s="140"/>
      <c r="E211" s="140"/>
      <c r="F211" s="140"/>
    </row>
    <row r="212" spans="1:12" x14ac:dyDescent="0.2">
      <c r="B212" s="140" t="s">
        <v>684</v>
      </c>
      <c r="C212" s="142" t="s">
        <v>686</v>
      </c>
      <c r="D212" s="140"/>
      <c r="E212" s="140"/>
      <c r="F212" s="140"/>
    </row>
    <row r="213" spans="1:12" x14ac:dyDescent="0.2">
      <c r="B213" s="139" t="s">
        <v>108</v>
      </c>
      <c r="C213" s="141"/>
      <c r="D213" s="139"/>
      <c r="E213" s="139"/>
      <c r="F213" s="139"/>
    </row>
    <row r="214" spans="1:12" x14ac:dyDescent="0.2">
      <c r="B214" s="140" t="s">
        <v>463</v>
      </c>
      <c r="C214" s="144">
        <v>0</v>
      </c>
      <c r="D214" s="148" t="s">
        <v>685</v>
      </c>
      <c r="E214" s="148" t="s">
        <v>685</v>
      </c>
      <c r="F214" s="148" t="s">
        <v>685</v>
      </c>
    </row>
    <row r="216" spans="1:12" x14ac:dyDescent="0.2">
      <c r="A216" s="12" t="s">
        <v>698</v>
      </c>
      <c r="B216" s="42" t="s">
        <v>687</v>
      </c>
      <c r="C216" s="5"/>
      <c r="D216" s="5"/>
    </row>
    <row r="218" spans="1:12" x14ac:dyDescent="0.2">
      <c r="B218" s="1" t="s">
        <v>778</v>
      </c>
    </row>
    <row r="219" spans="1:12" x14ac:dyDescent="0.2">
      <c r="C219" s="1" t="s">
        <v>689</v>
      </c>
    </row>
    <row r="221" spans="1:12" x14ac:dyDescent="0.2">
      <c r="B221" s="1" t="s">
        <v>688</v>
      </c>
    </row>
    <row r="222" spans="1:12" x14ac:dyDescent="0.2">
      <c r="C222" s="1" t="s">
        <v>690</v>
      </c>
    </row>
    <row r="224" spans="1:12" x14ac:dyDescent="0.2">
      <c r="B224" s="168" t="s">
        <v>691</v>
      </c>
      <c r="C224" s="169"/>
      <c r="D224" s="169"/>
      <c r="E224" s="169"/>
      <c r="F224" s="169"/>
      <c r="G224" s="169"/>
      <c r="H224" s="169"/>
      <c r="I224" s="169"/>
      <c r="J224" s="169"/>
      <c r="K224" s="169"/>
      <c r="L224" s="169"/>
    </row>
    <row r="225" spans="2:12" x14ac:dyDescent="0.2">
      <c r="B225" s="168"/>
      <c r="C225" s="169"/>
      <c r="D225" s="169"/>
      <c r="E225" s="169"/>
      <c r="F225" s="169"/>
      <c r="G225" s="169"/>
      <c r="H225" s="169"/>
      <c r="I225" s="169"/>
      <c r="J225" s="169"/>
      <c r="K225" s="169"/>
      <c r="L225" s="169"/>
    </row>
    <row r="227" spans="2:12" x14ac:dyDescent="0.2">
      <c r="B227" s="1" t="s">
        <v>692</v>
      </c>
    </row>
    <row r="228" spans="2:12" x14ac:dyDescent="0.2">
      <c r="B228" s="1" t="s">
        <v>693</v>
      </c>
    </row>
    <row r="229" spans="2:12" x14ac:dyDescent="0.2">
      <c r="B229" s="1" t="s">
        <v>694</v>
      </c>
    </row>
    <row r="231" spans="2:12" x14ac:dyDescent="0.2">
      <c r="B231" s="1" t="s">
        <v>695</v>
      </c>
    </row>
    <row r="233" spans="2:12" x14ac:dyDescent="0.2">
      <c r="B233" s="1" t="s">
        <v>696</v>
      </c>
    </row>
    <row r="235" spans="2:12" x14ac:dyDescent="0.2">
      <c r="B235" s="139"/>
      <c r="C235" s="141" t="s">
        <v>681</v>
      </c>
      <c r="D235" s="139" t="s">
        <v>682</v>
      </c>
      <c r="E235" s="139" t="s">
        <v>683</v>
      </c>
      <c r="F235" s="139" t="s">
        <v>108</v>
      </c>
    </row>
    <row r="236" spans="2:12" x14ac:dyDescent="0.2">
      <c r="B236" s="140" t="s">
        <v>680</v>
      </c>
      <c r="C236" s="145">
        <v>-1</v>
      </c>
      <c r="D236" s="140"/>
      <c r="E236" s="140"/>
      <c r="F236" s="140"/>
    </row>
    <row r="237" spans="2:12" x14ac:dyDescent="0.2">
      <c r="B237" s="140" t="s">
        <v>684</v>
      </c>
      <c r="C237" s="142" t="s">
        <v>697</v>
      </c>
      <c r="D237" s="140"/>
      <c r="E237" s="140"/>
      <c r="F237" s="140"/>
    </row>
    <row r="238" spans="2:12" x14ac:dyDescent="0.2">
      <c r="B238" s="139" t="s">
        <v>108</v>
      </c>
      <c r="C238" s="141"/>
      <c r="D238" s="139"/>
      <c r="E238" s="139"/>
      <c r="F238" s="139"/>
    </row>
    <row r="239" spans="2:12" x14ac:dyDescent="0.2">
      <c r="B239" s="140" t="s">
        <v>463</v>
      </c>
      <c r="C239" s="144">
        <v>0</v>
      </c>
      <c r="D239" s="148" t="s">
        <v>685</v>
      </c>
      <c r="E239" s="148" t="s">
        <v>685</v>
      </c>
      <c r="F239" s="148" t="s">
        <v>685</v>
      </c>
    </row>
    <row r="242" spans="1:6" x14ac:dyDescent="0.2">
      <c r="A242" s="12" t="s">
        <v>699</v>
      </c>
      <c r="B242" s="42" t="s">
        <v>700</v>
      </c>
      <c r="C242" s="5"/>
      <c r="D242" s="5"/>
    </row>
    <row r="244" spans="1:6" x14ac:dyDescent="0.2">
      <c r="B244" s="1" t="s">
        <v>701</v>
      </c>
    </row>
    <row r="247" spans="1:6" x14ac:dyDescent="0.2">
      <c r="A247" s="12" t="s">
        <v>702</v>
      </c>
      <c r="B247" s="42" t="s">
        <v>703</v>
      </c>
      <c r="C247" s="5"/>
      <c r="D247" s="5"/>
    </row>
    <row r="249" spans="1:6" x14ac:dyDescent="0.2">
      <c r="B249" s="139"/>
      <c r="C249" s="141" t="s">
        <v>681</v>
      </c>
      <c r="D249" s="139" t="s">
        <v>682</v>
      </c>
      <c r="E249" s="139" t="s">
        <v>683</v>
      </c>
      <c r="F249" s="139" t="s">
        <v>108</v>
      </c>
    </row>
    <row r="250" spans="1:6" x14ac:dyDescent="0.2">
      <c r="B250" s="140" t="s">
        <v>680</v>
      </c>
      <c r="C250" s="145">
        <v>-1</v>
      </c>
      <c r="D250" s="150" t="s">
        <v>705</v>
      </c>
      <c r="E250" s="140"/>
      <c r="F250" s="140"/>
    </row>
    <row r="251" spans="1:6" x14ac:dyDescent="0.2">
      <c r="B251" s="140" t="s">
        <v>684</v>
      </c>
      <c r="C251" s="142">
        <v>0.55700000000000005</v>
      </c>
      <c r="D251" s="149" t="s">
        <v>706</v>
      </c>
      <c r="E251" s="140"/>
      <c r="F251" s="140" t="s">
        <v>108</v>
      </c>
    </row>
    <row r="252" spans="1:6" x14ac:dyDescent="0.2">
      <c r="B252" s="139" t="s">
        <v>704</v>
      </c>
      <c r="C252" s="141">
        <v>0.443</v>
      </c>
      <c r="D252" s="151" t="s">
        <v>707</v>
      </c>
      <c r="E252" s="139"/>
      <c r="F252" s="139"/>
    </row>
    <row r="253" spans="1:6" x14ac:dyDescent="0.2">
      <c r="B253" s="140" t="s">
        <v>463</v>
      </c>
      <c r="C253" s="144">
        <v>0</v>
      </c>
      <c r="D253" s="148" t="s">
        <v>708</v>
      </c>
      <c r="E253" s="148" t="s">
        <v>708</v>
      </c>
      <c r="F253" s="148" t="s">
        <v>708</v>
      </c>
    </row>
    <row r="255" spans="1:6" x14ac:dyDescent="0.2">
      <c r="B255" s="1" t="s">
        <v>709</v>
      </c>
    </row>
    <row r="257" spans="1:8" x14ac:dyDescent="0.2">
      <c r="A257" s="12" t="s">
        <v>710</v>
      </c>
      <c r="B257" s="1" t="s">
        <v>777</v>
      </c>
    </row>
    <row r="264" spans="1:8" x14ac:dyDescent="0.2">
      <c r="A264" s="11">
        <v>7</v>
      </c>
      <c r="B264" s="5"/>
      <c r="C264" s="5"/>
      <c r="D264" s="5"/>
      <c r="E264" s="5"/>
      <c r="F264" s="5"/>
      <c r="G264" s="5"/>
      <c r="H264" s="5"/>
    </row>
    <row r="266" spans="1:8" x14ac:dyDescent="0.2">
      <c r="A266" s="12" t="s">
        <v>4</v>
      </c>
      <c r="B266" s="42"/>
      <c r="C266" s="41">
        <v>0</v>
      </c>
      <c r="D266" s="41">
        <v>1</v>
      </c>
      <c r="E266" s="41">
        <v>2</v>
      </c>
      <c r="F266" s="41">
        <v>3</v>
      </c>
    </row>
    <row r="267" spans="1:8" x14ac:dyDescent="0.2">
      <c r="B267" s="1" t="s">
        <v>71</v>
      </c>
      <c r="C267" s="4"/>
      <c r="D267" s="4">
        <v>600000</v>
      </c>
      <c r="E267" s="4">
        <v>800000</v>
      </c>
      <c r="F267" s="4">
        <v>1200000</v>
      </c>
    </row>
    <row r="268" spans="1:8" x14ac:dyDescent="0.2">
      <c r="B268" s="42" t="s">
        <v>635</v>
      </c>
      <c r="C268" s="89"/>
      <c r="D268" s="89">
        <v>300000</v>
      </c>
      <c r="E268" s="89">
        <v>500000</v>
      </c>
      <c r="F268" s="89">
        <v>700000</v>
      </c>
    </row>
    <row r="269" spans="1:8" x14ac:dyDescent="0.2">
      <c r="B269" s="1" t="s">
        <v>636</v>
      </c>
      <c r="C269" s="4">
        <f>C267-C268</f>
        <v>0</v>
      </c>
      <c r="D269" s="4">
        <f t="shared" ref="D269:F269" si="0">D267-D268</f>
        <v>300000</v>
      </c>
      <c r="E269" s="4">
        <f t="shared" si="0"/>
        <v>300000</v>
      </c>
      <c r="F269" s="4">
        <f t="shared" si="0"/>
        <v>500000</v>
      </c>
    </row>
    <row r="270" spans="1:8" x14ac:dyDescent="0.2">
      <c r="B270" s="42" t="s">
        <v>637</v>
      </c>
      <c r="C270" s="89"/>
      <c r="D270" s="89">
        <f>600000/4</f>
        <v>150000</v>
      </c>
      <c r="E270" s="89">
        <f>600000/4</f>
        <v>150000</v>
      </c>
      <c r="F270" s="89">
        <f>600000/4</f>
        <v>150000</v>
      </c>
    </row>
    <row r="271" spans="1:8" x14ac:dyDescent="0.2">
      <c r="B271" s="1" t="s">
        <v>551</v>
      </c>
      <c r="C271" s="4">
        <f>C269-C270</f>
        <v>0</v>
      </c>
      <c r="D271" s="4">
        <f t="shared" ref="D271:F271" si="1">D269-D270</f>
        <v>150000</v>
      </c>
      <c r="E271" s="4">
        <f t="shared" si="1"/>
        <v>150000</v>
      </c>
      <c r="F271" s="4">
        <f t="shared" si="1"/>
        <v>350000</v>
      </c>
    </row>
    <row r="272" spans="1:8" x14ac:dyDescent="0.2">
      <c r="B272" s="42" t="s">
        <v>638</v>
      </c>
      <c r="C272" s="89">
        <f>0.3*C271</f>
        <v>0</v>
      </c>
      <c r="D272" s="89">
        <f t="shared" ref="D272:F272" si="2">0.3*D271</f>
        <v>45000</v>
      </c>
      <c r="E272" s="89">
        <f t="shared" si="2"/>
        <v>45000</v>
      </c>
      <c r="F272" s="89">
        <f t="shared" si="2"/>
        <v>105000</v>
      </c>
    </row>
    <row r="273" spans="1:10" x14ac:dyDescent="0.2">
      <c r="B273" s="134" t="s">
        <v>639</v>
      </c>
      <c r="C273" s="136">
        <f>C271-C272</f>
        <v>0</v>
      </c>
      <c r="D273" s="136">
        <f t="shared" ref="D273:F273" si="3">D271-D272</f>
        <v>105000</v>
      </c>
      <c r="E273" s="136">
        <f t="shared" si="3"/>
        <v>105000</v>
      </c>
      <c r="F273" s="136">
        <f t="shared" si="3"/>
        <v>245000</v>
      </c>
    </row>
    <row r="274" spans="1:10" x14ac:dyDescent="0.2">
      <c r="A274" s="133"/>
      <c r="B274" s="135"/>
      <c r="C274" s="4"/>
      <c r="D274" s="4"/>
      <c r="E274" s="4"/>
      <c r="F274" s="4"/>
    </row>
    <row r="275" spans="1:10" x14ac:dyDescent="0.2">
      <c r="B275" s="1" t="s">
        <v>637</v>
      </c>
      <c r="C275" s="4"/>
      <c r="D275" s="4">
        <f>D270</f>
        <v>150000</v>
      </c>
      <c r="E275" s="4">
        <f t="shared" ref="E275:F275" si="4">E270</f>
        <v>150000</v>
      </c>
      <c r="F275" s="4">
        <f t="shared" si="4"/>
        <v>150000</v>
      </c>
    </row>
    <row r="276" spans="1:10" x14ac:dyDescent="0.2">
      <c r="B276" s="1" t="s">
        <v>640</v>
      </c>
      <c r="C276" s="137">
        <v>600000</v>
      </c>
      <c r="D276" s="4"/>
      <c r="E276" s="4"/>
      <c r="F276" s="4"/>
    </row>
    <row r="277" spans="1:10" x14ac:dyDescent="0.2">
      <c r="B277" s="1" t="s">
        <v>641</v>
      </c>
      <c r="C277" s="4"/>
      <c r="D277" s="4"/>
      <c r="E277" s="4"/>
      <c r="F277" s="4">
        <v>200000</v>
      </c>
    </row>
    <row r="278" spans="1:10" x14ac:dyDescent="0.2">
      <c r="B278" s="1" t="s">
        <v>645</v>
      </c>
      <c r="C278" s="4"/>
      <c r="D278" s="4"/>
      <c r="E278" s="4"/>
      <c r="F278" s="4">
        <f>(F277-(C276-SUM(C270:F270)))*0.3</f>
        <v>15000</v>
      </c>
    </row>
    <row r="279" spans="1:10" x14ac:dyDescent="0.2">
      <c r="B279" s="1" t="s">
        <v>643</v>
      </c>
      <c r="C279" s="4">
        <f>0.1*D267</f>
        <v>60000</v>
      </c>
      <c r="D279" s="4">
        <f>0.1*E267</f>
        <v>80000</v>
      </c>
      <c r="E279" s="4">
        <f>0.1*F267</f>
        <v>120000</v>
      </c>
      <c r="F279" s="4">
        <f>0.1*G267</f>
        <v>0</v>
      </c>
    </row>
    <row r="280" spans="1:10" x14ac:dyDescent="0.2">
      <c r="B280" s="42" t="s">
        <v>642</v>
      </c>
      <c r="C280" s="89">
        <f>-C279</f>
        <v>-60000</v>
      </c>
      <c r="D280" s="89">
        <f>-(D279-C279)</f>
        <v>-20000</v>
      </c>
      <c r="E280" s="89">
        <f>-(E279-D279)</f>
        <v>-40000</v>
      </c>
      <c r="F280" s="89">
        <f>-(F279-E279)</f>
        <v>120000</v>
      </c>
    </row>
    <row r="281" spans="1:10" x14ac:dyDescent="0.2">
      <c r="A281" s="68"/>
      <c r="B281" s="1" t="s">
        <v>644</v>
      </c>
      <c r="C281" s="137">
        <f>-C276+C277-C278+C280</f>
        <v>-660000</v>
      </c>
      <c r="D281" s="137">
        <f>-D276+D277-D278+D280</f>
        <v>-20000</v>
      </c>
      <c r="E281" s="137">
        <f>-E276+E277-E278+E280</f>
        <v>-40000</v>
      </c>
      <c r="F281" s="137">
        <f>-F276+F277-F278+F280</f>
        <v>305000</v>
      </c>
    </row>
    <row r="282" spans="1:10" x14ac:dyDescent="0.2">
      <c r="A282" s="68"/>
      <c r="B282" s="42"/>
      <c r="C282" s="89"/>
      <c r="D282" s="89"/>
      <c r="E282" s="89"/>
      <c r="F282" s="89"/>
    </row>
    <row r="283" spans="1:10" x14ac:dyDescent="0.2">
      <c r="B283" s="1" t="s">
        <v>96</v>
      </c>
      <c r="C283" s="137">
        <f>C273+C275-C276+C277-C278+C280</f>
        <v>-660000</v>
      </c>
      <c r="D283" s="137">
        <f>D273+D275-D276+D277-D278+D280</f>
        <v>235000</v>
      </c>
      <c r="E283" s="137">
        <f>E273+E275-E276+E277-E278+E280</f>
        <v>215000</v>
      </c>
      <c r="F283" s="137">
        <f>F273+F275-F276+F277-F278+F280</f>
        <v>700000</v>
      </c>
    </row>
    <row r="285" spans="1:10" x14ac:dyDescent="0.2">
      <c r="B285" s="168" t="s">
        <v>646</v>
      </c>
      <c r="C285" s="169"/>
      <c r="D285" s="169"/>
      <c r="E285" s="169"/>
      <c r="F285" s="169"/>
      <c r="G285" s="169"/>
      <c r="H285" s="169"/>
      <c r="I285" s="169"/>
      <c r="J285" s="169"/>
    </row>
    <row r="286" spans="1:10" x14ac:dyDescent="0.2">
      <c r="B286" s="168"/>
      <c r="C286" s="169"/>
      <c r="D286" s="169"/>
      <c r="E286" s="169"/>
      <c r="F286" s="169"/>
      <c r="G286" s="169"/>
      <c r="H286" s="169"/>
      <c r="I286" s="169"/>
      <c r="J286" s="169"/>
    </row>
    <row r="287" spans="1:10" x14ac:dyDescent="0.2">
      <c r="B287" s="168"/>
      <c r="C287" s="169"/>
      <c r="D287" s="169"/>
      <c r="E287" s="169"/>
      <c r="F287" s="169"/>
      <c r="G287" s="169"/>
      <c r="H287" s="169"/>
      <c r="I287" s="169"/>
      <c r="J287" s="169"/>
    </row>
    <row r="288" spans="1:10" x14ac:dyDescent="0.2">
      <c r="A288" s="12" t="s">
        <v>5</v>
      </c>
      <c r="B288" s="1" t="s">
        <v>782</v>
      </c>
    </row>
    <row r="289" spans="2:6" x14ac:dyDescent="0.2">
      <c r="B289" s="1" t="s">
        <v>647</v>
      </c>
    </row>
    <row r="291" spans="2:6" x14ac:dyDescent="0.2">
      <c r="B291" s="1" t="s">
        <v>783</v>
      </c>
    </row>
    <row r="292" spans="2:6" x14ac:dyDescent="0.2">
      <c r="B292" s="1" t="s">
        <v>779</v>
      </c>
      <c r="F292" s="1">
        <f xml:space="preserve"> 1.25 / (1 + 1.5 * (1-0.3))</f>
        <v>0.60975609756097571</v>
      </c>
    </row>
    <row r="294" spans="2:6" x14ac:dyDescent="0.2">
      <c r="B294" s="1" t="s">
        <v>394</v>
      </c>
    </row>
    <row r="295" spans="2:6" x14ac:dyDescent="0.2">
      <c r="B295" s="1" t="s">
        <v>648</v>
      </c>
      <c r="E295" s="57">
        <f>0.05+F292*0.06</f>
        <v>8.6585365853658544E-2</v>
      </c>
    </row>
    <row r="297" spans="2:6" x14ac:dyDescent="0.2">
      <c r="B297" s="1" t="s">
        <v>649</v>
      </c>
    </row>
    <row r="299" spans="2:6" x14ac:dyDescent="0.2">
      <c r="B299" s="1" t="s">
        <v>96</v>
      </c>
      <c r="C299" s="24">
        <f>C283</f>
        <v>-660000</v>
      </c>
      <c r="D299" s="24">
        <f>D283</f>
        <v>235000</v>
      </c>
      <c r="E299" s="24">
        <f>E283</f>
        <v>215000</v>
      </c>
      <c r="F299" s="24">
        <f>F283</f>
        <v>700000</v>
      </c>
    </row>
    <row r="300" spans="2:6" x14ac:dyDescent="0.2">
      <c r="B300" s="1" t="s">
        <v>28</v>
      </c>
      <c r="C300" s="1">
        <f>1/(1+$E$295)^C266</f>
        <v>1</v>
      </c>
      <c r="D300" s="1">
        <f>1/(1+$E$295)^D266</f>
        <v>0.9203142536475869</v>
      </c>
      <c r="E300" s="1">
        <f>1/(1+$E$295)^E266</f>
        <v>0.84697832546691487</v>
      </c>
      <c r="F300" s="1">
        <f>1/(1+$E$295)^F266</f>
        <v>0.7794862254577668</v>
      </c>
    </row>
    <row r="301" spans="2:6" x14ac:dyDescent="0.2">
      <c r="B301" s="1" t="s">
        <v>650</v>
      </c>
      <c r="C301" s="1">
        <f>C299*C300</f>
        <v>-660000</v>
      </c>
      <c r="D301" s="1">
        <f t="shared" ref="D301:F301" si="5">D299*D300</f>
        <v>216273.84960718293</v>
      </c>
      <c r="E301" s="1">
        <f t="shared" si="5"/>
        <v>182100.33997538668</v>
      </c>
      <c r="F301" s="1">
        <f t="shared" si="5"/>
        <v>545640.35782043671</v>
      </c>
    </row>
    <row r="303" spans="2:6" x14ac:dyDescent="0.2">
      <c r="B303" s="1" t="s">
        <v>22</v>
      </c>
      <c r="C303" s="138">
        <f>SUM(C301:F301)</f>
        <v>284014.54740300629</v>
      </c>
    </row>
    <row r="305" spans="1:6" x14ac:dyDescent="0.2">
      <c r="A305" s="12" t="s">
        <v>6</v>
      </c>
      <c r="B305" s="1" t="s">
        <v>651</v>
      </c>
    </row>
    <row r="307" spans="1:6" x14ac:dyDescent="0.2">
      <c r="B307" s="1" t="s">
        <v>780</v>
      </c>
      <c r="F307" s="1">
        <f>F292*(1+1*(1-0.3))</f>
        <v>1.0365853658536586</v>
      </c>
    </row>
    <row r="309" spans="1:6" x14ac:dyDescent="0.2">
      <c r="B309" s="1" t="s">
        <v>784</v>
      </c>
      <c r="F309" s="1">
        <f xml:space="preserve"> 0.05 + F307 * 0.06</f>
        <v>0.11219512195121951</v>
      </c>
    </row>
    <row r="311" spans="1:6" x14ac:dyDescent="0.2">
      <c r="B311" s="1" t="s">
        <v>652</v>
      </c>
      <c r="F311" s="57">
        <f>0.5*F309+0.5*0.05*(1-0.3)</f>
        <v>7.3597560975609752E-2</v>
      </c>
    </row>
    <row r="313" spans="1:6" x14ac:dyDescent="0.2">
      <c r="B313" s="1" t="s">
        <v>96</v>
      </c>
      <c r="C313" s="24">
        <f>C283</f>
        <v>-660000</v>
      </c>
      <c r="D313" s="24">
        <f>D283</f>
        <v>235000</v>
      </c>
      <c r="E313" s="24">
        <f>E283</f>
        <v>215000</v>
      </c>
      <c r="F313" s="24">
        <f>F283</f>
        <v>700000</v>
      </c>
    </row>
    <row r="314" spans="1:6" x14ac:dyDescent="0.2">
      <c r="B314" s="1" t="s">
        <v>28</v>
      </c>
      <c r="C314" s="1">
        <f>1/(1+$F$311)^C266</f>
        <v>1</v>
      </c>
      <c r="D314" s="1">
        <f>1/(1+$F$311)^D266</f>
        <v>0.93144771965695472</v>
      </c>
      <c r="E314" s="1">
        <f>1/(1+$F$311)^E266</f>
        <v>0.86759485445414086</v>
      </c>
      <c r="F314" s="1">
        <f>1/(1+$F$311)^F266</f>
        <v>0.80811924876741703</v>
      </c>
    </row>
    <row r="315" spans="1:6" x14ac:dyDescent="0.2">
      <c r="B315" s="1" t="s">
        <v>650</v>
      </c>
      <c r="C315" s="1">
        <f>C313*C314</f>
        <v>-660000</v>
      </c>
      <c r="D315" s="1">
        <f t="shared" ref="D315" si="6">D313*D314</f>
        <v>218890.21411938436</v>
      </c>
      <c r="E315" s="1">
        <f t="shared" ref="E315" si="7">E313*E314</f>
        <v>186532.89370764029</v>
      </c>
      <c r="F315" s="1">
        <f t="shared" ref="F315" si="8">F313*F314</f>
        <v>565683.47413719189</v>
      </c>
    </row>
    <row r="317" spans="1:6" x14ac:dyDescent="0.2">
      <c r="B317" s="1" t="s">
        <v>22</v>
      </c>
      <c r="C317" s="138">
        <f>SUM(C315:F315)</f>
        <v>311106.58196421654</v>
      </c>
    </row>
    <row r="319" spans="1:6" x14ac:dyDescent="0.2">
      <c r="B319" s="1" t="s">
        <v>781</v>
      </c>
    </row>
  </sheetData>
  <mergeCells count="9">
    <mergeCell ref="B85:J87"/>
    <mergeCell ref="B224:L225"/>
    <mergeCell ref="B285:J287"/>
    <mergeCell ref="C169:D169"/>
    <mergeCell ref="B184:J185"/>
    <mergeCell ref="C143:D143"/>
    <mergeCell ref="B149:J151"/>
    <mergeCell ref="C160:D160"/>
    <mergeCell ref="D161:D1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84CE-B795-5441-AAC9-F84EB9277A8E}">
  <dimension ref="A1:P327"/>
  <sheetViews>
    <sheetView zoomScaleNormal="100" workbookViewId="0"/>
  </sheetViews>
  <sheetFormatPr baseColWidth="10" defaultRowHeight="16" x14ac:dyDescent="0.2"/>
  <cols>
    <col min="1" max="1" width="12.1640625" style="12" customWidth="1"/>
    <col min="2" max="2" width="26.33203125" style="1" customWidth="1"/>
    <col min="3" max="3" width="16.6640625" style="1" bestFit="1" customWidth="1"/>
    <col min="4" max="4" width="15" style="1" bestFit="1" customWidth="1"/>
    <col min="5" max="5" width="15.1640625" style="1" customWidth="1"/>
    <col min="6" max="6" width="13.83203125" style="1" customWidth="1"/>
    <col min="7" max="7" width="11.5" style="1" customWidth="1"/>
    <col min="8" max="8" width="14.83203125" style="1" bestFit="1" customWidth="1"/>
    <col min="9" max="9" width="14.83203125" style="1" customWidth="1"/>
    <col min="10" max="16384" width="10.83203125" style="1"/>
  </cols>
  <sheetData>
    <row r="1" spans="1:8" x14ac:dyDescent="0.2">
      <c r="A1" s="73" t="s">
        <v>287</v>
      </c>
    </row>
    <row r="3" spans="1:8" x14ac:dyDescent="0.2">
      <c r="A3" s="11">
        <v>1</v>
      </c>
      <c r="B3" s="5"/>
      <c r="C3" s="5"/>
      <c r="D3" s="5"/>
      <c r="E3" s="5"/>
      <c r="F3" s="5"/>
      <c r="G3" s="5"/>
      <c r="H3" s="5"/>
    </row>
    <row r="5" spans="1:8" x14ac:dyDescent="0.2">
      <c r="B5" s="1" t="s">
        <v>285</v>
      </c>
    </row>
    <row r="6" spans="1:8" x14ac:dyDescent="0.2">
      <c r="B6" s="1" t="s">
        <v>307</v>
      </c>
    </row>
    <row r="7" spans="1:8" x14ac:dyDescent="0.2">
      <c r="B7" s="1" t="s">
        <v>308</v>
      </c>
    </row>
    <row r="9" spans="1:8" x14ac:dyDescent="0.2">
      <c r="A9" s="12" t="s">
        <v>4</v>
      </c>
      <c r="B9" s="1" t="s">
        <v>309</v>
      </c>
    </row>
    <row r="11" spans="1:8" x14ac:dyDescent="0.2">
      <c r="A11" s="12" t="s">
        <v>5</v>
      </c>
      <c r="B11" s="1" t="s">
        <v>310</v>
      </c>
    </row>
    <row r="16" spans="1:8" x14ac:dyDescent="0.2">
      <c r="A16" s="11">
        <v>2</v>
      </c>
      <c r="B16" s="5"/>
      <c r="C16" s="5"/>
      <c r="D16" s="5"/>
      <c r="E16" s="5"/>
      <c r="F16" s="5"/>
      <c r="G16" s="5"/>
      <c r="H16" s="5"/>
    </row>
    <row r="17" spans="1:9" x14ac:dyDescent="0.2">
      <c r="C17" s="3"/>
      <c r="D17" s="3"/>
    </row>
    <row r="18" spans="1:9" x14ac:dyDescent="0.2">
      <c r="A18" s="12" t="s">
        <v>4</v>
      </c>
      <c r="B18" s="1" t="s">
        <v>282</v>
      </c>
      <c r="C18" s="3">
        <v>0.67249999999999999</v>
      </c>
      <c r="D18" s="3">
        <v>0.67349999999999999</v>
      </c>
      <c r="F18" s="74"/>
    </row>
    <row r="19" spans="1:9" x14ac:dyDescent="0.2">
      <c r="B19" s="1" t="s">
        <v>283</v>
      </c>
      <c r="C19" s="3">
        <v>1E-3</v>
      </c>
      <c r="D19" s="3">
        <v>1.5E-3</v>
      </c>
    </row>
    <row r="20" spans="1:9" x14ac:dyDescent="0.2">
      <c r="B20" s="1" t="s">
        <v>284</v>
      </c>
      <c r="C20" s="3">
        <f>SUM(C18:C19)</f>
        <v>0.67349999999999999</v>
      </c>
      <c r="D20" s="3">
        <f>SUM(D18:D19)</f>
        <v>0.67499999999999993</v>
      </c>
    </row>
    <row r="22" spans="1:9" x14ac:dyDescent="0.2">
      <c r="B22" s="1" t="s">
        <v>285</v>
      </c>
    </row>
    <row r="23" spans="1:9" x14ac:dyDescent="0.2">
      <c r="B23" s="1" t="s">
        <v>301</v>
      </c>
    </row>
    <row r="24" spans="1:9" x14ac:dyDescent="0.2">
      <c r="B24" s="1" t="s">
        <v>302</v>
      </c>
    </row>
    <row r="25" spans="1:9" x14ac:dyDescent="0.2">
      <c r="B25" s="1" t="s">
        <v>303</v>
      </c>
    </row>
    <row r="26" spans="1:9" x14ac:dyDescent="0.2">
      <c r="B26" s="1" t="s">
        <v>304</v>
      </c>
    </row>
    <row r="28" spans="1:9" x14ac:dyDescent="0.2">
      <c r="A28" s="12" t="s">
        <v>5</v>
      </c>
      <c r="B28" s="1" t="s">
        <v>286</v>
      </c>
    </row>
    <row r="30" spans="1:9" x14ac:dyDescent="0.2">
      <c r="A30" s="12" t="s">
        <v>6</v>
      </c>
      <c r="B30" s="77" t="s">
        <v>305</v>
      </c>
      <c r="C30" s="74"/>
      <c r="D30" s="75"/>
      <c r="E30" s="74"/>
      <c r="H30" s="78">
        <f>350000/0.6735</f>
        <v>519673.34818114329</v>
      </c>
    </row>
    <row r="31" spans="1:9" x14ac:dyDescent="0.2">
      <c r="B31" s="77"/>
      <c r="C31" s="74"/>
      <c r="D31" s="74"/>
      <c r="E31" s="74"/>
    </row>
    <row r="32" spans="1:9" x14ac:dyDescent="0.2">
      <c r="A32" s="12" t="s">
        <v>12</v>
      </c>
      <c r="B32" s="77" t="s">
        <v>306</v>
      </c>
      <c r="C32" s="74"/>
      <c r="D32" s="74"/>
      <c r="E32" s="74"/>
      <c r="I32" s="79">
        <f>450000*0.6735</f>
        <v>303075</v>
      </c>
    </row>
    <row r="34" spans="1:8" x14ac:dyDescent="0.2">
      <c r="A34" s="12" t="s">
        <v>288</v>
      </c>
      <c r="B34" s="1" t="s">
        <v>289</v>
      </c>
    </row>
    <row r="35" spans="1:8" x14ac:dyDescent="0.2">
      <c r="B35" s="1" t="s">
        <v>290</v>
      </c>
      <c r="D35" s="1">
        <f>0.673 * (1-0.03) ^ 4 * (1+0.1)^2</f>
        <v>0.72092049396730007</v>
      </c>
    </row>
    <row r="39" spans="1:8" x14ac:dyDescent="0.2">
      <c r="A39" s="11">
        <v>3</v>
      </c>
      <c r="B39" s="5"/>
      <c r="C39" s="5"/>
      <c r="D39" s="5"/>
      <c r="E39" s="5"/>
      <c r="F39" s="5"/>
      <c r="G39" s="5"/>
      <c r="H39" s="5"/>
    </row>
    <row r="41" spans="1:8" x14ac:dyDescent="0.2">
      <c r="B41" s="1" t="s">
        <v>291</v>
      </c>
    </row>
    <row r="42" spans="1:8" x14ac:dyDescent="0.2">
      <c r="B42" s="1" t="s">
        <v>292</v>
      </c>
    </row>
    <row r="46" spans="1:8" x14ac:dyDescent="0.2">
      <c r="A46" s="11">
        <v>4</v>
      </c>
      <c r="B46" s="5"/>
      <c r="C46" s="5"/>
      <c r="D46" s="5"/>
      <c r="E46" s="5"/>
      <c r="F46" s="5"/>
      <c r="G46" s="5"/>
      <c r="H46" s="5"/>
    </row>
    <row r="48" spans="1:8" x14ac:dyDescent="0.2">
      <c r="B48" s="1" t="s">
        <v>293</v>
      </c>
    </row>
    <row r="50" spans="1:8" x14ac:dyDescent="0.2">
      <c r="B50" s="1" t="s">
        <v>294</v>
      </c>
      <c r="F50" s="19">
        <f>0.612*(1+(0.03-0.05))</f>
        <v>0.59975999999999996</v>
      </c>
    </row>
    <row r="53" spans="1:8" x14ac:dyDescent="0.2">
      <c r="A53" s="11">
        <v>5</v>
      </c>
      <c r="B53" s="5"/>
      <c r="C53" s="5"/>
      <c r="D53" s="5"/>
      <c r="E53" s="5"/>
      <c r="F53" s="5"/>
      <c r="G53" s="5"/>
      <c r="H53" s="5"/>
    </row>
    <row r="55" spans="1:8" x14ac:dyDescent="0.2">
      <c r="A55" s="12" t="s">
        <v>4</v>
      </c>
      <c r="B55" s="1" t="s">
        <v>293</v>
      </c>
    </row>
    <row r="56" spans="1:8" x14ac:dyDescent="0.2">
      <c r="B56" s="2" t="s">
        <v>295</v>
      </c>
    </row>
    <row r="57" spans="1:8" x14ac:dyDescent="0.2">
      <c r="B57" s="1" t="s">
        <v>296</v>
      </c>
      <c r="D57" s="76">
        <f xml:space="preserve"> 0.824 * (1+0.02) / (1+0.01)</f>
        <v>0.83215841584158412</v>
      </c>
    </row>
    <row r="59" spans="1:8" x14ac:dyDescent="0.2">
      <c r="B59" s="2" t="s">
        <v>297</v>
      </c>
    </row>
    <row r="60" spans="1:8" x14ac:dyDescent="0.2">
      <c r="B60" s="1" t="s">
        <v>298</v>
      </c>
      <c r="D60" s="76">
        <f xml:space="preserve"> 0.8322 * (1+0.03) / (1+0.03)</f>
        <v>0.83220000000000005</v>
      </c>
    </row>
    <row r="62" spans="1:8" x14ac:dyDescent="0.2">
      <c r="B62" s="2" t="s">
        <v>299</v>
      </c>
    </row>
    <row r="63" spans="1:8" x14ac:dyDescent="0.2">
      <c r="B63" s="1" t="s">
        <v>300</v>
      </c>
      <c r="D63" s="76">
        <f xml:space="preserve"> 0.8322 * (1+0.04) / (1+0.02)</f>
        <v>0.8485176470588236</v>
      </c>
    </row>
    <row r="66" spans="1:8" x14ac:dyDescent="0.2">
      <c r="A66" s="11">
        <v>6</v>
      </c>
      <c r="B66" s="5"/>
      <c r="C66" s="5"/>
      <c r="D66" s="5"/>
      <c r="E66" s="5"/>
      <c r="F66" s="5"/>
      <c r="G66" s="5"/>
      <c r="H66" s="5"/>
    </row>
    <row r="68" spans="1:8" x14ac:dyDescent="0.2">
      <c r="A68" s="12" t="s">
        <v>4</v>
      </c>
      <c r="B68" s="1" t="s">
        <v>313</v>
      </c>
    </row>
    <row r="69" spans="1:8" x14ac:dyDescent="0.2">
      <c r="B69" s="1" t="s">
        <v>311</v>
      </c>
    </row>
    <row r="70" spans="1:8" x14ac:dyDescent="0.2">
      <c r="B70" s="1" t="s">
        <v>312</v>
      </c>
      <c r="E70" s="82">
        <f xml:space="preserve"> 1000000 * (1 + 0.07625)</f>
        <v>1076250</v>
      </c>
    </row>
    <row r="72" spans="1:8" x14ac:dyDescent="0.2">
      <c r="B72" s="1" t="s">
        <v>314</v>
      </c>
    </row>
    <row r="73" spans="1:8" x14ac:dyDescent="0.2">
      <c r="B73" s="1" t="s">
        <v>315</v>
      </c>
    </row>
    <row r="74" spans="1:8" x14ac:dyDescent="0.2">
      <c r="B74" s="1" t="s">
        <v>316</v>
      </c>
      <c r="E74" s="81">
        <f xml:space="preserve"> 1000000 * 1.3125 * (1 + 0.045626) / 1.275</f>
        <v>1076379.705882353</v>
      </c>
    </row>
    <row r="76" spans="1:8" x14ac:dyDescent="0.2">
      <c r="B76" s="1" t="s">
        <v>317</v>
      </c>
    </row>
    <row r="80" spans="1:8" x14ac:dyDescent="0.2">
      <c r="A80" s="11">
        <v>7</v>
      </c>
      <c r="B80" s="5"/>
      <c r="C80" s="5"/>
      <c r="D80" s="5"/>
      <c r="E80" s="5"/>
      <c r="F80" s="5"/>
      <c r="G80" s="5"/>
      <c r="H80" s="5"/>
    </row>
    <row r="82" spans="1:8" x14ac:dyDescent="0.2">
      <c r="B82" s="1" t="s">
        <v>318</v>
      </c>
      <c r="D82" s="80">
        <f xml:space="preserve"> 2 * (1+0.02)</f>
        <v>2.04</v>
      </c>
    </row>
    <row r="83" spans="1:8" x14ac:dyDescent="0.2">
      <c r="B83" s="1" t="s">
        <v>319</v>
      </c>
      <c r="D83" s="84">
        <f xml:space="preserve"> 1 * (1+0.04)</f>
        <v>1.04</v>
      </c>
    </row>
    <row r="84" spans="1:8" x14ac:dyDescent="0.2">
      <c r="B84" s="1" t="s">
        <v>320</v>
      </c>
      <c r="D84" s="83" t="s">
        <v>321</v>
      </c>
    </row>
    <row r="89" spans="1:8" x14ac:dyDescent="0.2">
      <c r="A89" s="11">
        <v>8</v>
      </c>
      <c r="B89" s="5"/>
      <c r="C89" s="5"/>
      <c r="D89" s="5"/>
      <c r="E89" s="5"/>
      <c r="F89" s="5"/>
      <c r="G89" s="5"/>
      <c r="H89" s="5"/>
    </row>
    <row r="91" spans="1:8" x14ac:dyDescent="0.2">
      <c r="B91" s="1" t="s">
        <v>354</v>
      </c>
    </row>
    <row r="92" spans="1:8" x14ac:dyDescent="0.2">
      <c r="B92" s="1" t="s">
        <v>355</v>
      </c>
    </row>
    <row r="93" spans="1:8" x14ac:dyDescent="0.2">
      <c r="B93" s="1" t="s">
        <v>356</v>
      </c>
    </row>
    <row r="94" spans="1:8" x14ac:dyDescent="0.2">
      <c r="B94" s="1" t="s">
        <v>357</v>
      </c>
    </row>
    <row r="95" spans="1:8" x14ac:dyDescent="0.2">
      <c r="B95" s="1" t="s">
        <v>358</v>
      </c>
    </row>
    <row r="96" spans="1:8" x14ac:dyDescent="0.2">
      <c r="B96" s="1" t="s">
        <v>359</v>
      </c>
    </row>
    <row r="100" spans="1:8" x14ac:dyDescent="0.2">
      <c r="A100" s="11">
        <v>9</v>
      </c>
      <c r="B100" s="5"/>
      <c r="C100" s="5"/>
      <c r="D100" s="5"/>
      <c r="E100" s="5"/>
      <c r="F100" s="5"/>
      <c r="G100" s="5"/>
      <c r="H100" s="5"/>
    </row>
    <row r="102" spans="1:8" x14ac:dyDescent="0.2">
      <c r="A102" s="12" t="s">
        <v>322</v>
      </c>
      <c r="B102" s="26"/>
      <c r="C102" s="26">
        <v>0</v>
      </c>
      <c r="D102" s="26">
        <v>1</v>
      </c>
      <c r="E102" s="26">
        <v>2</v>
      </c>
      <c r="F102" s="26">
        <v>3</v>
      </c>
    </row>
    <row r="103" spans="1:8" x14ac:dyDescent="0.2">
      <c r="B103" s="26" t="s">
        <v>323</v>
      </c>
      <c r="C103" s="26"/>
      <c r="D103" s="26">
        <v>4250</v>
      </c>
      <c r="E103" s="26">
        <v>6500</v>
      </c>
      <c r="F103" s="26">
        <v>8350</v>
      </c>
    </row>
    <row r="104" spans="1:8" x14ac:dyDescent="0.2">
      <c r="B104" s="26" t="s">
        <v>324</v>
      </c>
      <c r="C104" s="26"/>
      <c r="D104" s="26">
        <f>D103/2</f>
        <v>2125</v>
      </c>
      <c r="E104" s="26">
        <f t="shared" ref="E104:F105" si="0">E103/2</f>
        <v>3250</v>
      </c>
      <c r="F104" s="26">
        <f t="shared" si="0"/>
        <v>4175</v>
      </c>
    </row>
    <row r="105" spans="1:8" x14ac:dyDescent="0.2">
      <c r="B105" s="26" t="s">
        <v>326</v>
      </c>
      <c r="C105" s="26"/>
      <c r="D105" s="26">
        <f>D104/2</f>
        <v>1062.5</v>
      </c>
      <c r="E105" s="26">
        <f t="shared" si="0"/>
        <v>1625</v>
      </c>
      <c r="F105" s="26">
        <f t="shared" si="0"/>
        <v>2087.5</v>
      </c>
    </row>
    <row r="106" spans="1:8" x14ac:dyDescent="0.2">
      <c r="B106" s="26" t="s">
        <v>325</v>
      </c>
      <c r="C106" s="26"/>
      <c r="D106" s="26"/>
      <c r="E106" s="26"/>
      <c r="F106" s="26">
        <f>SUM(D104:F104)-SUM(D105:F105)</f>
        <v>4775</v>
      </c>
    </row>
    <row r="107" spans="1:8" x14ac:dyDescent="0.2">
      <c r="B107" s="26" t="s">
        <v>330</v>
      </c>
      <c r="C107" s="26">
        <f>SUM(C105:C106)</f>
        <v>0</v>
      </c>
      <c r="D107" s="26">
        <f t="shared" ref="D107:E107" si="1">SUM(D105:D106)</f>
        <v>1062.5</v>
      </c>
      <c r="E107" s="26">
        <f t="shared" si="1"/>
        <v>1625</v>
      </c>
      <c r="F107" s="26">
        <f>SUM(F105:F106)</f>
        <v>6862.5</v>
      </c>
    </row>
    <row r="108" spans="1:8" x14ac:dyDescent="0.2">
      <c r="B108" s="26"/>
      <c r="C108" s="26"/>
      <c r="D108" s="26"/>
      <c r="E108" s="26"/>
      <c r="F108" s="26"/>
    </row>
    <row r="109" spans="1:8" x14ac:dyDescent="0.2">
      <c r="B109" s="26" t="s">
        <v>327</v>
      </c>
      <c r="C109" s="26"/>
      <c r="D109" s="26">
        <v>10</v>
      </c>
      <c r="E109" s="26">
        <v>15</v>
      </c>
      <c r="F109" s="26">
        <v>21</v>
      </c>
    </row>
    <row r="110" spans="1:8" x14ac:dyDescent="0.2">
      <c r="B110" s="26" t="s">
        <v>329</v>
      </c>
      <c r="C110" s="85">
        <v>-450</v>
      </c>
      <c r="D110" s="26"/>
      <c r="E110" s="26"/>
      <c r="F110" s="26"/>
    </row>
    <row r="111" spans="1:8" x14ac:dyDescent="0.2">
      <c r="B111" s="26" t="s">
        <v>328</v>
      </c>
      <c r="C111" s="85">
        <f>C110</f>
        <v>-450</v>
      </c>
      <c r="D111" s="85">
        <f>D107/D109</f>
        <v>106.25</v>
      </c>
      <c r="E111" s="85">
        <f t="shared" ref="E111:F111" si="2">E107/E109</f>
        <v>108.33333333333333</v>
      </c>
      <c r="F111" s="85">
        <f t="shared" si="2"/>
        <v>326.78571428571428</v>
      </c>
    </row>
    <row r="112" spans="1:8" x14ac:dyDescent="0.2">
      <c r="B112" s="26"/>
      <c r="C112" s="26"/>
      <c r="D112" s="26"/>
      <c r="E112" s="26"/>
      <c r="F112" s="26"/>
    </row>
    <row r="113" spans="1:6" x14ac:dyDescent="0.2">
      <c r="B113" s="26" t="s">
        <v>28</v>
      </c>
      <c r="C113" s="26">
        <f>1/(1+0.16)^C102</f>
        <v>1</v>
      </c>
      <c r="D113" s="26">
        <f t="shared" ref="D113:F113" si="3">1/(1+0.16)^D102</f>
        <v>0.86206896551724144</v>
      </c>
      <c r="E113" s="26">
        <f t="shared" si="3"/>
        <v>0.74316290130796681</v>
      </c>
      <c r="F113" s="26">
        <f t="shared" si="3"/>
        <v>0.64065767354135073</v>
      </c>
    </row>
    <row r="114" spans="1:6" x14ac:dyDescent="0.2">
      <c r="B114" s="26" t="s">
        <v>331</v>
      </c>
      <c r="C114" s="85">
        <f>C111*C113</f>
        <v>-450</v>
      </c>
      <c r="D114" s="85">
        <f t="shared" ref="D114:F114" si="4">D111*D113</f>
        <v>91.594827586206904</v>
      </c>
      <c r="E114" s="85">
        <f t="shared" si="4"/>
        <v>80.509314308363074</v>
      </c>
      <c r="F114" s="85">
        <f t="shared" si="4"/>
        <v>209.35777546083426</v>
      </c>
    </row>
    <row r="115" spans="1:6" x14ac:dyDescent="0.2">
      <c r="B115" s="26"/>
      <c r="C115" s="26"/>
      <c r="D115" s="26"/>
      <c r="E115" s="26"/>
      <c r="F115" s="26"/>
    </row>
    <row r="116" spans="1:6" x14ac:dyDescent="0.2">
      <c r="B116" s="26" t="s">
        <v>22</v>
      </c>
      <c r="C116" s="86">
        <f>SUM(C114:F114)</f>
        <v>-68.538082644595761</v>
      </c>
      <c r="D116" s="26"/>
      <c r="E116" s="26"/>
      <c r="F116" s="26"/>
    </row>
    <row r="118" spans="1:6" x14ac:dyDescent="0.2">
      <c r="B118" s="1" t="s">
        <v>332</v>
      </c>
    </row>
    <row r="120" spans="1:6" x14ac:dyDescent="0.2">
      <c r="A120" s="12" t="s">
        <v>333</v>
      </c>
      <c r="B120" s="26"/>
      <c r="C120" s="26">
        <v>0</v>
      </c>
      <c r="D120" s="26">
        <v>1</v>
      </c>
      <c r="E120" s="26">
        <v>2</v>
      </c>
      <c r="F120" s="26">
        <v>3</v>
      </c>
    </row>
    <row r="121" spans="1:6" x14ac:dyDescent="0.2">
      <c r="B121" s="26" t="s">
        <v>323</v>
      </c>
      <c r="C121" s="26"/>
      <c r="D121" s="26">
        <v>4250</v>
      </c>
      <c r="E121" s="26">
        <v>6500</v>
      </c>
      <c r="F121" s="26">
        <v>8350</v>
      </c>
    </row>
    <row r="122" spans="1:6" x14ac:dyDescent="0.2">
      <c r="B122" s="26" t="s">
        <v>324</v>
      </c>
      <c r="C122" s="26"/>
      <c r="D122" s="26">
        <f>D121/2</f>
        <v>2125</v>
      </c>
      <c r="E122" s="26">
        <f t="shared" ref="E122" si="5">E121/2</f>
        <v>3250</v>
      </c>
      <c r="F122" s="26">
        <f t="shared" ref="F122" si="6">F121/2</f>
        <v>4175</v>
      </c>
    </row>
    <row r="123" spans="1:6" x14ac:dyDescent="0.2">
      <c r="B123" s="26" t="s">
        <v>334</v>
      </c>
      <c r="C123" s="26"/>
      <c r="D123" s="26">
        <f>D122</f>
        <v>2125</v>
      </c>
      <c r="E123" s="26">
        <f t="shared" ref="E123:F123" si="7">E122</f>
        <v>3250</v>
      </c>
      <c r="F123" s="26">
        <f t="shared" si="7"/>
        <v>4175</v>
      </c>
    </row>
    <row r="124" spans="1:6" x14ac:dyDescent="0.2">
      <c r="B124" s="26" t="s">
        <v>325</v>
      </c>
      <c r="C124" s="26"/>
      <c r="D124" s="26"/>
      <c r="E124" s="26"/>
      <c r="F124" s="26"/>
    </row>
    <row r="125" spans="1:6" x14ac:dyDescent="0.2">
      <c r="B125" s="26" t="s">
        <v>330</v>
      </c>
      <c r="C125" s="26">
        <f>SUM(C123:C124)</f>
        <v>0</v>
      </c>
      <c r="D125" s="26">
        <f t="shared" ref="D125" si="8">SUM(D123:D124)</f>
        <v>2125</v>
      </c>
      <c r="E125" s="26">
        <f t="shared" ref="E125" si="9">SUM(E123:E124)</f>
        <v>3250</v>
      </c>
      <c r="F125" s="26">
        <f>SUM(F123:F124)</f>
        <v>4175</v>
      </c>
    </row>
    <row r="126" spans="1:6" x14ac:dyDescent="0.2">
      <c r="B126" s="26"/>
      <c r="C126" s="26"/>
      <c r="D126" s="26"/>
      <c r="E126" s="26"/>
      <c r="F126" s="26"/>
    </row>
    <row r="127" spans="1:6" x14ac:dyDescent="0.2">
      <c r="B127" s="26" t="s">
        <v>327</v>
      </c>
      <c r="C127" s="26"/>
      <c r="D127" s="26">
        <v>10</v>
      </c>
      <c r="E127" s="26">
        <v>15</v>
      </c>
      <c r="F127" s="26">
        <v>21</v>
      </c>
    </row>
    <row r="128" spans="1:6" x14ac:dyDescent="0.2">
      <c r="B128" s="26" t="s">
        <v>329</v>
      </c>
      <c r="C128" s="85">
        <v>-450</v>
      </c>
      <c r="D128" s="26"/>
      <c r="E128" s="26"/>
      <c r="F128" s="26"/>
    </row>
    <row r="129" spans="1:9" x14ac:dyDescent="0.2">
      <c r="B129" s="26" t="s">
        <v>328</v>
      </c>
      <c r="C129" s="85">
        <f>C128</f>
        <v>-450</v>
      </c>
      <c r="D129" s="85">
        <f>D125/D127</f>
        <v>212.5</v>
      </c>
      <c r="E129" s="85">
        <f t="shared" ref="E129:F129" si="10">E125/E127</f>
        <v>216.66666666666666</v>
      </c>
      <c r="F129" s="85">
        <f t="shared" si="10"/>
        <v>198.8095238095238</v>
      </c>
    </row>
    <row r="130" spans="1:9" x14ac:dyDescent="0.2">
      <c r="B130" s="26"/>
      <c r="C130" s="26"/>
      <c r="D130" s="26"/>
      <c r="E130" s="26"/>
      <c r="F130" s="26"/>
    </row>
    <row r="131" spans="1:9" x14ac:dyDescent="0.2">
      <c r="B131" s="26" t="s">
        <v>28</v>
      </c>
      <c r="C131" s="26">
        <f>1/(1+0.16)^C120</f>
        <v>1</v>
      </c>
      <c r="D131" s="26">
        <f t="shared" ref="D131:F131" si="11">1/(1+0.16)^D120</f>
        <v>0.86206896551724144</v>
      </c>
      <c r="E131" s="26">
        <f t="shared" si="11"/>
        <v>0.74316290130796681</v>
      </c>
      <c r="F131" s="26">
        <f t="shared" si="11"/>
        <v>0.64065767354135073</v>
      </c>
    </row>
    <row r="132" spans="1:9" x14ac:dyDescent="0.2">
      <c r="B132" s="26" t="s">
        <v>331</v>
      </c>
      <c r="C132" s="85">
        <f>C129*C131</f>
        <v>-450</v>
      </c>
      <c r="D132" s="85">
        <f t="shared" ref="D132" si="12">D129*D131</f>
        <v>183.18965517241381</v>
      </c>
      <c r="E132" s="85">
        <f t="shared" ref="E132" si="13">E129*E131</f>
        <v>161.01862861672615</v>
      </c>
      <c r="F132" s="85">
        <f t="shared" ref="F132" si="14">F129*F131</f>
        <v>127.36884700167329</v>
      </c>
    </row>
    <row r="133" spans="1:9" x14ac:dyDescent="0.2">
      <c r="B133" s="26"/>
      <c r="C133" s="26"/>
      <c r="D133" s="26"/>
      <c r="E133" s="26"/>
      <c r="F133" s="26"/>
    </row>
    <row r="134" spans="1:9" x14ac:dyDescent="0.2">
      <c r="B134" s="26" t="s">
        <v>22</v>
      </c>
      <c r="C134" s="86">
        <f>SUM(C132:F132)</f>
        <v>21.577130790813271</v>
      </c>
      <c r="D134" s="26"/>
      <c r="E134" s="26"/>
      <c r="F134" s="26"/>
    </row>
    <row r="136" spans="1:9" x14ac:dyDescent="0.2">
      <c r="B136" s="168" t="s">
        <v>335</v>
      </c>
      <c r="C136" s="169"/>
      <c r="D136" s="169"/>
      <c r="E136" s="169"/>
      <c r="F136" s="169"/>
      <c r="G136" s="169"/>
      <c r="H136" s="169"/>
      <c r="I136" s="169"/>
    </row>
    <row r="137" spans="1:9" x14ac:dyDescent="0.2">
      <c r="B137" s="168"/>
      <c r="C137" s="169"/>
      <c r="D137" s="169"/>
      <c r="E137" s="169"/>
      <c r="F137" s="169"/>
      <c r="G137" s="169"/>
      <c r="H137" s="169"/>
      <c r="I137" s="169"/>
    </row>
    <row r="138" spans="1:9" x14ac:dyDescent="0.2">
      <c r="B138" s="168"/>
      <c r="C138" s="169"/>
      <c r="D138" s="169"/>
      <c r="E138" s="169"/>
      <c r="F138" s="169"/>
      <c r="G138" s="169"/>
      <c r="H138" s="169"/>
      <c r="I138" s="169"/>
    </row>
    <row r="139" spans="1:9" x14ac:dyDescent="0.2">
      <c r="A139" s="12" t="s">
        <v>5</v>
      </c>
      <c r="B139" s="1" t="s">
        <v>336</v>
      </c>
    </row>
    <row r="142" spans="1:9" x14ac:dyDescent="0.2">
      <c r="A142" s="11">
        <v>10</v>
      </c>
      <c r="B142" s="5"/>
      <c r="C142" s="5"/>
      <c r="D142" s="5"/>
      <c r="E142" s="5"/>
      <c r="F142" s="5"/>
      <c r="G142" s="5"/>
      <c r="H142" s="5"/>
    </row>
    <row r="144" spans="1:9" x14ac:dyDescent="0.2">
      <c r="A144" s="12" t="s">
        <v>4</v>
      </c>
      <c r="C144" s="1">
        <v>0</v>
      </c>
      <c r="D144" s="1">
        <v>1</v>
      </c>
      <c r="E144" s="1">
        <v>2</v>
      </c>
      <c r="F144" s="1">
        <v>3</v>
      </c>
      <c r="G144" s="1">
        <v>4</v>
      </c>
    </row>
    <row r="145" spans="1:9" x14ac:dyDescent="0.2">
      <c r="A145" s="12" t="s">
        <v>350</v>
      </c>
      <c r="B145" s="1" t="s">
        <v>337</v>
      </c>
      <c r="D145" s="1">
        <v>60</v>
      </c>
      <c r="E145" s="1">
        <v>60</v>
      </c>
      <c r="F145" s="1">
        <v>60</v>
      </c>
      <c r="G145" s="1">
        <v>45</v>
      </c>
    </row>
    <row r="146" spans="1:9" x14ac:dyDescent="0.2">
      <c r="A146" s="12" t="s">
        <v>351</v>
      </c>
      <c r="B146" s="1" t="s">
        <v>338</v>
      </c>
      <c r="G146" s="1">
        <v>50</v>
      </c>
    </row>
    <row r="147" spans="1:9" x14ac:dyDescent="0.2">
      <c r="A147" s="12" t="s">
        <v>352</v>
      </c>
      <c r="B147" s="42" t="s">
        <v>339</v>
      </c>
      <c r="C147" s="5">
        <v>-150</v>
      </c>
      <c r="D147" s="5"/>
      <c r="E147" s="5"/>
      <c r="F147" s="5"/>
      <c r="G147" s="5"/>
    </row>
    <row r="148" spans="1:9" x14ac:dyDescent="0.2">
      <c r="B148" s="1" t="s">
        <v>340</v>
      </c>
      <c r="C148" s="1">
        <f>SUM(C145:C147)</f>
        <v>-150</v>
      </c>
      <c r="D148" s="1">
        <f t="shared" ref="D148:G148" si="15">SUM(D145:D147)</f>
        <v>60</v>
      </c>
      <c r="E148" s="1">
        <f t="shared" si="15"/>
        <v>60</v>
      </c>
      <c r="F148" s="1">
        <f t="shared" si="15"/>
        <v>60</v>
      </c>
      <c r="G148" s="1">
        <f t="shared" si="15"/>
        <v>95</v>
      </c>
    </row>
    <row r="150" spans="1:9" x14ac:dyDescent="0.2">
      <c r="B150" s="1" t="s">
        <v>341</v>
      </c>
      <c r="C150" s="1">
        <v>1.7</v>
      </c>
      <c r="D150" s="32">
        <f>(C150*(1+0.05))</f>
        <v>1.7849999999999999</v>
      </c>
      <c r="E150" s="32">
        <f t="shared" ref="E150:G150" si="16">(D150*(1+0.05))</f>
        <v>1.87425</v>
      </c>
      <c r="F150" s="32">
        <f t="shared" si="16"/>
        <v>1.9679625000000001</v>
      </c>
      <c r="G150" s="32">
        <f t="shared" si="16"/>
        <v>2.0663606250000002</v>
      </c>
    </row>
    <row r="151" spans="1:9" x14ac:dyDescent="0.2">
      <c r="B151" s="1" t="s">
        <v>342</v>
      </c>
      <c r="C151" s="1">
        <f>C148/C150</f>
        <v>-88.235294117647058</v>
      </c>
      <c r="D151" s="1">
        <f t="shared" ref="D151:G151" si="17">D148/D150</f>
        <v>33.613445378151262</v>
      </c>
      <c r="E151" s="1">
        <f t="shared" si="17"/>
        <v>32.012805122048817</v>
      </c>
      <c r="F151" s="1">
        <f t="shared" si="17"/>
        <v>30.488385830522684</v>
      </c>
      <c r="G151" s="1">
        <f t="shared" si="17"/>
        <v>45.974550061899286</v>
      </c>
    </row>
    <row r="153" spans="1:9" x14ac:dyDescent="0.2">
      <c r="B153" s="1" t="s">
        <v>28</v>
      </c>
      <c r="C153" s="1">
        <f>1/(1+0.14)^C144</f>
        <v>1</v>
      </c>
      <c r="D153" s="1">
        <f t="shared" ref="D153:G153" si="18">1/(1+0.14)^D144</f>
        <v>0.8771929824561403</v>
      </c>
      <c r="E153" s="1">
        <f t="shared" si="18"/>
        <v>0.76946752847029842</v>
      </c>
      <c r="F153" s="1">
        <f t="shared" si="18"/>
        <v>0.67497151620201612</v>
      </c>
      <c r="G153" s="1">
        <f t="shared" si="18"/>
        <v>0.59208027737018942</v>
      </c>
    </row>
    <row r="154" spans="1:9" x14ac:dyDescent="0.2">
      <c r="B154" s="1" t="s">
        <v>343</v>
      </c>
      <c r="C154" s="1">
        <f>C151*C153</f>
        <v>-88.235294117647058</v>
      </c>
      <c r="D154" s="1">
        <f t="shared" ref="D154:G154" si="19">D151*D153</f>
        <v>29.485478401887072</v>
      </c>
      <c r="E154" s="1">
        <f t="shared" si="19"/>
        <v>24.632814036664215</v>
      </c>
      <c r="F154" s="1">
        <f t="shared" si="19"/>
        <v>20.57879201057996</v>
      </c>
      <c r="G154" s="1">
        <f t="shared" si="19"/>
        <v>27.220624352618987</v>
      </c>
    </row>
    <row r="156" spans="1:9" x14ac:dyDescent="0.2">
      <c r="B156" s="1" t="s">
        <v>22</v>
      </c>
      <c r="C156" s="87">
        <f>SUM(C154:G154)</f>
        <v>13.682414684103176</v>
      </c>
    </row>
    <row r="158" spans="1:9" x14ac:dyDescent="0.2">
      <c r="A158" s="12" t="s">
        <v>5</v>
      </c>
      <c r="B158" s="168" t="s">
        <v>344</v>
      </c>
      <c r="C158" s="169"/>
      <c r="D158" s="169"/>
      <c r="E158" s="169"/>
      <c r="F158" s="169"/>
      <c r="G158" s="169"/>
      <c r="H158" s="169"/>
      <c r="I158" s="169"/>
    </row>
    <row r="159" spans="1:9" x14ac:dyDescent="0.2">
      <c r="A159" s="12" t="s">
        <v>353</v>
      </c>
      <c r="B159" s="168"/>
      <c r="C159" s="169"/>
      <c r="D159" s="169"/>
      <c r="E159" s="169"/>
      <c r="F159" s="169"/>
      <c r="G159" s="169"/>
      <c r="H159" s="169"/>
      <c r="I159" s="169"/>
    </row>
    <row r="160" spans="1:9" x14ac:dyDescent="0.2">
      <c r="A160" s="12" t="s">
        <v>351</v>
      </c>
      <c r="B160" s="168"/>
      <c r="C160" s="169"/>
      <c r="D160" s="169"/>
      <c r="E160" s="169"/>
      <c r="F160" s="169"/>
      <c r="G160" s="169"/>
      <c r="H160" s="169"/>
      <c r="I160" s="169"/>
    </row>
    <row r="161" spans="1:15" x14ac:dyDescent="0.2">
      <c r="A161" s="12" t="s">
        <v>352</v>
      </c>
      <c r="B161" s="168"/>
      <c r="C161" s="169"/>
      <c r="D161" s="169"/>
      <c r="E161" s="169"/>
      <c r="F161" s="169"/>
      <c r="G161" s="169"/>
      <c r="H161" s="169"/>
      <c r="I161" s="169"/>
    </row>
    <row r="162" spans="1:15" x14ac:dyDescent="0.2">
      <c r="B162" s="1" t="s">
        <v>345</v>
      </c>
      <c r="C162" s="88">
        <f xml:space="preserve"> 1.14 * (1.05) -1</f>
        <v>0.19699999999999984</v>
      </c>
    </row>
    <row r="164" spans="1:15" x14ac:dyDescent="0.2">
      <c r="B164" s="42" t="s">
        <v>340</v>
      </c>
      <c r="C164" s="5">
        <f>C148</f>
        <v>-150</v>
      </c>
      <c r="D164" s="5">
        <f t="shared" ref="D164:G164" si="20">D148</f>
        <v>60</v>
      </c>
      <c r="E164" s="5">
        <f t="shared" si="20"/>
        <v>60</v>
      </c>
      <c r="F164" s="5">
        <f t="shared" si="20"/>
        <v>60</v>
      </c>
      <c r="G164" s="5">
        <f t="shared" si="20"/>
        <v>95</v>
      </c>
    </row>
    <row r="166" spans="1:15" x14ac:dyDescent="0.2">
      <c r="B166" s="1" t="s">
        <v>346</v>
      </c>
      <c r="C166" s="1">
        <f>1/(1+$C$162)^C144</f>
        <v>1</v>
      </c>
      <c r="D166" s="1">
        <f t="shared" ref="D166:G166" si="21">1/(1+$C$162)^D144</f>
        <v>0.83542188805346707</v>
      </c>
      <c r="E166" s="1">
        <f t="shared" si="21"/>
        <v>0.69792973103881972</v>
      </c>
      <c r="F166" s="1">
        <f t="shared" si="21"/>
        <v>0.5830657736330993</v>
      </c>
      <c r="G166" s="1">
        <f t="shared" si="21"/>
        <v>0.48710590946791932</v>
      </c>
    </row>
    <row r="167" spans="1:15" x14ac:dyDescent="0.2">
      <c r="B167" s="1" t="s">
        <v>347</v>
      </c>
      <c r="C167" s="1">
        <f>C164*C166</f>
        <v>-150</v>
      </c>
      <c r="D167" s="1">
        <f t="shared" ref="D167:G167" si="22">D164*D166</f>
        <v>50.125313283208023</v>
      </c>
      <c r="E167" s="1">
        <f t="shared" si="22"/>
        <v>41.875783862329186</v>
      </c>
      <c r="F167" s="1">
        <f t="shared" si="22"/>
        <v>34.983946417985962</v>
      </c>
      <c r="G167" s="1">
        <f t="shared" si="22"/>
        <v>46.275061399452333</v>
      </c>
    </row>
    <row r="169" spans="1:15" x14ac:dyDescent="0.2">
      <c r="B169" s="1" t="s">
        <v>348</v>
      </c>
      <c r="C169" s="1">
        <f>SUM(C167:G167)</f>
        <v>23.260104962975497</v>
      </c>
    </row>
    <row r="171" spans="1:15" x14ac:dyDescent="0.2">
      <c r="B171" s="1" t="s">
        <v>349</v>
      </c>
      <c r="C171" s="87">
        <f>C169/C150</f>
        <v>13.682414684103234</v>
      </c>
    </row>
    <row r="172" spans="1:15" x14ac:dyDescent="0.2">
      <c r="C172" s="87"/>
    </row>
    <row r="173" spans="1:15" x14ac:dyDescent="0.2">
      <c r="C173" s="87"/>
    </row>
    <row r="174" spans="1:15" x14ac:dyDescent="0.2">
      <c r="A174" s="11">
        <v>11</v>
      </c>
      <c r="B174" s="5"/>
      <c r="C174" s="5"/>
      <c r="D174" s="5"/>
      <c r="E174" s="5"/>
      <c r="F174" s="5"/>
      <c r="G174" s="5"/>
      <c r="H174" s="5"/>
    </row>
    <row r="175" spans="1:15" x14ac:dyDescent="0.2">
      <c r="C175" s="87"/>
    </row>
    <row r="176" spans="1:15" x14ac:dyDescent="0.2">
      <c r="A176" s="12" t="s">
        <v>4</v>
      </c>
      <c r="B176" s="168" t="s">
        <v>734</v>
      </c>
      <c r="C176" s="169"/>
      <c r="D176" s="169"/>
      <c r="E176" s="169"/>
      <c r="F176" s="169"/>
      <c r="G176" s="169"/>
      <c r="H176" s="169"/>
      <c r="I176" s="169"/>
      <c r="J176" s="169"/>
      <c r="K176" s="169"/>
      <c r="L176" s="169"/>
      <c r="M176" s="169"/>
      <c r="N176" s="169"/>
      <c r="O176" s="169"/>
    </row>
    <row r="177" spans="2:15" x14ac:dyDescent="0.2">
      <c r="B177" s="168"/>
      <c r="C177" s="169"/>
      <c r="D177" s="169"/>
      <c r="E177" s="169"/>
      <c r="F177" s="169"/>
      <c r="G177" s="169"/>
      <c r="H177" s="169"/>
      <c r="I177" s="169"/>
      <c r="J177" s="169"/>
      <c r="K177" s="169"/>
      <c r="L177" s="169"/>
      <c r="M177" s="169"/>
      <c r="N177" s="169"/>
      <c r="O177" s="169"/>
    </row>
    <row r="178" spans="2:15" x14ac:dyDescent="0.2">
      <c r="B178" s="168"/>
      <c r="C178" s="169"/>
      <c r="D178" s="169"/>
      <c r="E178" s="169"/>
      <c r="F178" s="169"/>
      <c r="G178" s="169"/>
      <c r="H178" s="169"/>
      <c r="I178" s="169"/>
      <c r="J178" s="169"/>
      <c r="K178" s="169"/>
      <c r="L178" s="169"/>
      <c r="M178" s="169"/>
      <c r="N178" s="169"/>
      <c r="O178" s="169"/>
    </row>
    <row r="179" spans="2:15" x14ac:dyDescent="0.2">
      <c r="B179" s="168"/>
      <c r="C179" s="169"/>
      <c r="D179" s="169"/>
      <c r="E179" s="169"/>
      <c r="F179" s="169"/>
      <c r="G179" s="169"/>
      <c r="H179" s="169"/>
      <c r="I179" s="169"/>
      <c r="J179" s="169"/>
      <c r="K179" s="169"/>
      <c r="L179" s="169"/>
      <c r="M179" s="169"/>
      <c r="N179" s="169"/>
      <c r="O179" s="169"/>
    </row>
    <row r="180" spans="2:15" x14ac:dyDescent="0.2">
      <c r="B180" s="168"/>
      <c r="C180" s="169"/>
      <c r="D180" s="169"/>
      <c r="E180" s="169"/>
      <c r="F180" s="169"/>
      <c r="G180" s="169"/>
      <c r="H180" s="169"/>
      <c r="I180" s="169"/>
      <c r="J180" s="169"/>
      <c r="K180" s="169"/>
      <c r="L180" s="169"/>
      <c r="M180" s="169"/>
      <c r="N180" s="169"/>
      <c r="O180" s="169"/>
    </row>
    <row r="182" spans="2:15" x14ac:dyDescent="0.2">
      <c r="B182" s="1" t="s">
        <v>735</v>
      </c>
    </row>
    <row r="184" spans="2:15" x14ac:dyDescent="0.2">
      <c r="B184" s="1" t="s">
        <v>736</v>
      </c>
      <c r="C184" s="1">
        <f>1050*(1+0.03)/1.04</f>
        <v>1039.9038461538462</v>
      </c>
      <c r="D184" s="1" t="s">
        <v>737</v>
      </c>
    </row>
    <row r="186" spans="2:15" x14ac:dyDescent="0.2">
      <c r="B186" s="1" t="s">
        <v>738</v>
      </c>
    </row>
    <row r="188" spans="2:15" x14ac:dyDescent="0.2">
      <c r="B188" s="1" t="s">
        <v>739</v>
      </c>
    </row>
    <row r="190" spans="2:15" x14ac:dyDescent="0.2">
      <c r="B190" s="1" t="s">
        <v>740</v>
      </c>
      <c r="C190" s="1">
        <f>1050*(1.0325/1.0425)^2</f>
        <v>1029.9527284647102</v>
      </c>
      <c r="D190" s="1" t="s">
        <v>737</v>
      </c>
    </row>
    <row r="193" spans="1:5" x14ac:dyDescent="0.2">
      <c r="A193" s="12" t="s">
        <v>5</v>
      </c>
      <c r="B193" s="1" t="s">
        <v>741</v>
      </c>
    </row>
    <row r="195" spans="1:5" x14ac:dyDescent="0.2">
      <c r="B195" s="1" t="s">
        <v>742</v>
      </c>
    </row>
    <row r="196" spans="1:5" x14ac:dyDescent="0.2">
      <c r="C196" s="1" t="s">
        <v>743</v>
      </c>
      <c r="D196" s="1" t="s">
        <v>744</v>
      </c>
      <c r="E196" s="1" t="s">
        <v>745</v>
      </c>
    </row>
    <row r="197" spans="1:5" x14ac:dyDescent="0.2">
      <c r="B197" s="1" t="s">
        <v>746</v>
      </c>
      <c r="C197" s="158">
        <v>-1000000</v>
      </c>
      <c r="D197" s="158">
        <v>700000</v>
      </c>
      <c r="E197" s="158">
        <v>600000</v>
      </c>
    </row>
    <row r="198" spans="1:5" x14ac:dyDescent="0.2">
      <c r="B198" s="1" t="s">
        <v>747</v>
      </c>
      <c r="C198" s="1">
        <v>1050</v>
      </c>
      <c r="D198" s="1">
        <f>C184</f>
        <v>1039.9038461538462</v>
      </c>
      <c r="E198" s="1">
        <f>C190</f>
        <v>1029.9527284647102</v>
      </c>
    </row>
    <row r="199" spans="1:5" x14ac:dyDescent="0.2">
      <c r="B199" s="1" t="s">
        <v>748</v>
      </c>
      <c r="C199" s="158">
        <f>C197*C198</f>
        <v>-1050000000</v>
      </c>
      <c r="D199" s="158">
        <f t="shared" ref="D199:E199" si="23">D197*D198</f>
        <v>727932692.30769229</v>
      </c>
      <c r="E199" s="158">
        <f t="shared" si="23"/>
        <v>617971637.07882607</v>
      </c>
    </row>
    <row r="201" spans="1:5" x14ac:dyDescent="0.2">
      <c r="B201" s="1" t="s">
        <v>749</v>
      </c>
    </row>
    <row r="203" spans="1:5" x14ac:dyDescent="0.2">
      <c r="B203" s="1" t="s">
        <v>750</v>
      </c>
      <c r="C203" s="1">
        <v>0.13</v>
      </c>
    </row>
    <row r="204" spans="1:5" x14ac:dyDescent="0.2">
      <c r="B204" s="1" t="s">
        <v>711</v>
      </c>
      <c r="C204" s="1">
        <v>0</v>
      </c>
      <c r="D204" s="1">
        <v>1</v>
      </c>
      <c r="E204" s="1">
        <v>2</v>
      </c>
    </row>
    <row r="205" spans="1:5" x14ac:dyDescent="0.2">
      <c r="B205" s="1" t="s">
        <v>751</v>
      </c>
      <c r="C205" s="1">
        <f>1/(1+$C$203)^C204</f>
        <v>1</v>
      </c>
      <c r="D205" s="1">
        <f t="shared" ref="D205:E205" si="24">1/(1+$C$203)^D204</f>
        <v>0.88495575221238942</v>
      </c>
      <c r="E205" s="1">
        <f t="shared" si="24"/>
        <v>0.78314668337379612</v>
      </c>
    </row>
    <row r="206" spans="1:5" x14ac:dyDescent="0.2">
      <c r="B206" s="1" t="s">
        <v>752</v>
      </c>
      <c r="C206" s="159">
        <f>C199*C205</f>
        <v>-1050000000</v>
      </c>
      <c r="D206" s="159">
        <f t="shared" ref="D206" si="25">D199*D205</f>
        <v>644188223.28114367</v>
      </c>
      <c r="E206" s="159">
        <f>E199*E205</f>
        <v>483962437.99735785</v>
      </c>
    </row>
    <row r="207" spans="1:5" x14ac:dyDescent="0.2">
      <c r="C207" s="159"/>
      <c r="D207" s="159"/>
      <c r="E207" s="159"/>
    </row>
    <row r="208" spans="1:5" x14ac:dyDescent="0.2">
      <c r="B208" s="160" t="s">
        <v>22</v>
      </c>
      <c r="C208" s="161">
        <f>SUM(C206:E206)</f>
        <v>78150661.278501511</v>
      </c>
      <c r="D208" s="159"/>
      <c r="E208" s="159"/>
    </row>
    <row r="209" spans="2:5" x14ac:dyDescent="0.2">
      <c r="C209" s="159"/>
      <c r="D209" s="159"/>
      <c r="E209" s="159"/>
    </row>
    <row r="210" spans="2:5" x14ac:dyDescent="0.2">
      <c r="B210" s="1" t="s">
        <v>753</v>
      </c>
      <c r="C210" s="159"/>
      <c r="D210" s="159"/>
      <c r="E210" s="159"/>
    </row>
    <row r="211" spans="2:5" x14ac:dyDescent="0.2">
      <c r="C211" s="159"/>
      <c r="D211" s="159"/>
      <c r="E211" s="159"/>
    </row>
    <row r="212" spans="2:5" x14ac:dyDescent="0.2">
      <c r="B212" s="1" t="s">
        <v>754</v>
      </c>
      <c r="C212" s="159"/>
      <c r="D212" s="159"/>
      <c r="E212" s="159"/>
    </row>
    <row r="213" spans="2:5" x14ac:dyDescent="0.2">
      <c r="B213" s="1" t="s">
        <v>755</v>
      </c>
      <c r="C213" s="159"/>
      <c r="D213" s="159"/>
      <c r="E213" s="159"/>
    </row>
    <row r="214" spans="2:5" x14ac:dyDescent="0.2">
      <c r="C214" s="159"/>
      <c r="D214" s="159"/>
      <c r="E214" s="159"/>
    </row>
    <row r="215" spans="2:5" x14ac:dyDescent="0.2">
      <c r="B215" s="2" t="s">
        <v>756</v>
      </c>
    </row>
    <row r="216" spans="2:5" x14ac:dyDescent="0.2">
      <c r="B216" s="160" t="s">
        <v>757</v>
      </c>
      <c r="C216" s="160">
        <v>0.188477815064613</v>
      </c>
    </row>
    <row r="217" spans="2:5" x14ac:dyDescent="0.2">
      <c r="B217" s="1" t="s">
        <v>711</v>
      </c>
      <c r="C217" s="1">
        <v>0</v>
      </c>
      <c r="D217" s="1">
        <v>1</v>
      </c>
      <c r="E217" s="1">
        <v>2</v>
      </c>
    </row>
    <row r="218" spans="2:5" x14ac:dyDescent="0.2">
      <c r="B218" s="1" t="s">
        <v>751</v>
      </c>
      <c r="C218" s="1">
        <f>1/(1+$C$216)^C217</f>
        <v>1</v>
      </c>
      <c r="D218" s="1">
        <f t="shared" ref="D218:E218" si="26">1/(1+$C$216)^D217</f>
        <v>0.84141242463632682</v>
      </c>
      <c r="E218" s="1">
        <f t="shared" si="26"/>
        <v>0.70797486833238243</v>
      </c>
    </row>
    <row r="219" spans="2:5" x14ac:dyDescent="0.2">
      <c r="B219" s="1" t="s">
        <v>752</v>
      </c>
      <c r="C219" s="159">
        <f>C199*C218</f>
        <v>-1050000000</v>
      </c>
      <c r="D219" s="159">
        <f t="shared" ref="D219:E219" si="27">D199*D218</f>
        <v>612491611.60666466</v>
      </c>
      <c r="E219" s="159">
        <f t="shared" si="27"/>
        <v>437508388.39402872</v>
      </c>
    </row>
    <row r="221" spans="2:5" x14ac:dyDescent="0.2">
      <c r="B221" s="1" t="s">
        <v>22</v>
      </c>
      <c r="C221" s="159">
        <f>SUM(C219:E219)</f>
        <v>6.9338083267211914E-4</v>
      </c>
    </row>
    <row r="223" spans="2:5" x14ac:dyDescent="0.2">
      <c r="B223" s="1" t="s">
        <v>758</v>
      </c>
    </row>
    <row r="226" spans="1:16" x14ac:dyDescent="0.2">
      <c r="A226" s="12" t="s">
        <v>5</v>
      </c>
      <c r="B226" s="1" t="s">
        <v>759</v>
      </c>
    </row>
    <row r="229" spans="1:16" x14ac:dyDescent="0.2">
      <c r="A229" s="12" t="s">
        <v>12</v>
      </c>
      <c r="B229" s="168" t="s">
        <v>760</v>
      </c>
      <c r="C229" s="169"/>
      <c r="D229" s="169"/>
      <c r="E229" s="169"/>
      <c r="F229" s="169"/>
      <c r="G229" s="169"/>
      <c r="H229" s="169"/>
      <c r="I229" s="169"/>
      <c r="J229" s="169"/>
      <c r="K229" s="169"/>
      <c r="L229" s="169"/>
      <c r="M229" s="169"/>
      <c r="N229" s="169"/>
      <c r="O229" s="169"/>
      <c r="P229" s="169"/>
    </row>
    <row r="230" spans="1:16" x14ac:dyDescent="0.2">
      <c r="B230" s="168"/>
      <c r="C230" s="169"/>
      <c r="D230" s="169"/>
      <c r="E230" s="169"/>
      <c r="F230" s="169"/>
      <c r="G230" s="169"/>
      <c r="H230" s="169"/>
      <c r="I230" s="169"/>
      <c r="J230" s="169"/>
      <c r="K230" s="169"/>
      <c r="L230" s="169"/>
      <c r="M230" s="169"/>
      <c r="N230" s="169"/>
      <c r="O230" s="169"/>
      <c r="P230" s="169"/>
    </row>
    <row r="231" spans="1:16" x14ac:dyDescent="0.2">
      <c r="B231" s="168"/>
      <c r="C231" s="169"/>
      <c r="D231" s="169"/>
      <c r="E231" s="169"/>
      <c r="F231" s="169"/>
      <c r="G231" s="169"/>
      <c r="H231" s="169"/>
      <c r="I231" s="169"/>
      <c r="J231" s="169"/>
      <c r="K231" s="169"/>
      <c r="L231" s="169"/>
      <c r="M231" s="169"/>
      <c r="N231" s="169"/>
      <c r="O231" s="169"/>
      <c r="P231" s="169"/>
    </row>
    <row r="232" spans="1:16" x14ac:dyDescent="0.2">
      <c r="B232" s="168"/>
      <c r="C232" s="169"/>
      <c r="D232" s="169"/>
      <c r="E232" s="169"/>
      <c r="F232" s="169"/>
      <c r="G232" s="169"/>
      <c r="H232" s="169"/>
      <c r="I232" s="169"/>
      <c r="J232" s="169"/>
      <c r="K232" s="169"/>
      <c r="L232" s="169"/>
      <c r="M232" s="169"/>
      <c r="N232" s="169"/>
      <c r="O232" s="169"/>
      <c r="P232" s="169"/>
    </row>
    <row r="233" spans="1:16" x14ac:dyDescent="0.2">
      <c r="B233" s="168"/>
      <c r="C233" s="169"/>
      <c r="D233" s="169"/>
      <c r="E233" s="169"/>
      <c r="F233" s="169"/>
      <c r="G233" s="169"/>
      <c r="H233" s="169"/>
      <c r="I233" s="169"/>
      <c r="J233" s="169"/>
      <c r="K233" s="169"/>
      <c r="L233" s="169"/>
      <c r="M233" s="169"/>
      <c r="N233" s="169"/>
      <c r="O233" s="169"/>
      <c r="P233" s="169"/>
    </row>
    <row r="234" spans="1:16" x14ac:dyDescent="0.2">
      <c r="B234" s="168"/>
      <c r="C234" s="169"/>
      <c r="D234" s="169"/>
      <c r="E234" s="169"/>
      <c r="F234" s="169"/>
      <c r="G234" s="169"/>
      <c r="H234" s="169"/>
      <c r="I234" s="169"/>
      <c r="J234" s="169"/>
      <c r="K234" s="169"/>
      <c r="L234" s="169"/>
      <c r="M234" s="169"/>
      <c r="N234" s="169"/>
      <c r="O234" s="169"/>
      <c r="P234" s="169"/>
    </row>
    <row r="235" spans="1:16" x14ac:dyDescent="0.2">
      <c r="B235" s="168"/>
      <c r="C235" s="169"/>
      <c r="D235" s="169"/>
      <c r="E235" s="169"/>
      <c r="F235" s="169"/>
      <c r="G235" s="169"/>
      <c r="H235" s="169"/>
      <c r="I235" s="169"/>
      <c r="J235" s="169"/>
      <c r="K235" s="169"/>
      <c r="L235" s="169"/>
      <c r="M235" s="169"/>
      <c r="N235" s="169"/>
      <c r="O235" s="169"/>
      <c r="P235" s="169"/>
    </row>
    <row r="237" spans="1:16" x14ac:dyDescent="0.2">
      <c r="A237" s="11">
        <v>12</v>
      </c>
      <c r="B237" s="5"/>
      <c r="C237" s="5"/>
      <c r="D237" s="5"/>
      <c r="E237" s="5"/>
      <c r="F237" s="5"/>
      <c r="G237" s="5"/>
      <c r="H237" s="5"/>
    </row>
    <row r="239" spans="1:16" x14ac:dyDescent="0.2">
      <c r="A239" s="12" t="s">
        <v>4</v>
      </c>
      <c r="B239" s="1" t="s">
        <v>360</v>
      </c>
    </row>
    <row r="240" spans="1:16" x14ac:dyDescent="0.2">
      <c r="B240" s="1" t="s">
        <v>361</v>
      </c>
    </row>
    <row r="241" spans="1:8" x14ac:dyDescent="0.2">
      <c r="A241" s="68"/>
      <c r="B241" s="1" t="s">
        <v>362</v>
      </c>
      <c r="C241" s="1" t="s">
        <v>363</v>
      </c>
    </row>
    <row r="243" spans="1:8" x14ac:dyDescent="0.2">
      <c r="A243" s="12" t="s">
        <v>5</v>
      </c>
      <c r="B243" s="1" t="s">
        <v>364</v>
      </c>
    </row>
    <row r="244" spans="1:8" x14ac:dyDescent="0.2">
      <c r="B244" s="1" t="s">
        <v>365</v>
      </c>
    </row>
    <row r="245" spans="1:8" x14ac:dyDescent="0.2">
      <c r="B245" s="1" t="s">
        <v>366</v>
      </c>
    </row>
    <row r="248" spans="1:8" x14ac:dyDescent="0.2">
      <c r="A248" s="11">
        <v>13</v>
      </c>
      <c r="B248" s="5"/>
      <c r="C248" s="5"/>
      <c r="D248" s="5"/>
      <c r="E248" s="5"/>
      <c r="F248" s="5"/>
      <c r="G248" s="5"/>
      <c r="H248" s="5"/>
    </row>
    <row r="250" spans="1:8" x14ac:dyDescent="0.2">
      <c r="B250" s="1" t="s">
        <v>367</v>
      </c>
    </row>
    <row r="251" spans="1:8" x14ac:dyDescent="0.2">
      <c r="B251" s="1" t="s">
        <v>368</v>
      </c>
    </row>
    <row r="252" spans="1:8" x14ac:dyDescent="0.2">
      <c r="B252" s="1" t="s">
        <v>369</v>
      </c>
    </row>
    <row r="253" spans="1:8" x14ac:dyDescent="0.2">
      <c r="B253" s="1" t="s">
        <v>370</v>
      </c>
    </row>
    <row r="254" spans="1:8" x14ac:dyDescent="0.2">
      <c r="B254" s="1" t="s">
        <v>371</v>
      </c>
    </row>
    <row r="255" spans="1:8" x14ac:dyDescent="0.2">
      <c r="B255" s="1" t="s">
        <v>372</v>
      </c>
    </row>
    <row r="256" spans="1:8" x14ac:dyDescent="0.2">
      <c r="B256" s="1" t="s">
        <v>373</v>
      </c>
    </row>
    <row r="257" spans="1:8" x14ac:dyDescent="0.2">
      <c r="B257" s="1" t="s">
        <v>374</v>
      </c>
    </row>
    <row r="261" spans="1:8" x14ac:dyDescent="0.2">
      <c r="A261" s="11">
        <v>14</v>
      </c>
      <c r="B261" s="5"/>
      <c r="C261" s="5"/>
      <c r="D261" s="5"/>
      <c r="E261" s="5"/>
      <c r="F261" s="5"/>
      <c r="G261" s="5"/>
      <c r="H261" s="5"/>
    </row>
    <row r="263" spans="1:8" x14ac:dyDescent="0.2">
      <c r="B263" s="1" t="s">
        <v>375</v>
      </c>
      <c r="E263" s="1" t="s">
        <v>655</v>
      </c>
    </row>
    <row r="264" spans="1:8" x14ac:dyDescent="0.2">
      <c r="B264" s="1" t="s">
        <v>376</v>
      </c>
      <c r="E264" s="1" t="s">
        <v>657</v>
      </c>
    </row>
    <row r="265" spans="1:8" x14ac:dyDescent="0.2">
      <c r="B265" s="1" t="s">
        <v>377</v>
      </c>
      <c r="E265" s="1" t="s">
        <v>656</v>
      </c>
    </row>
    <row r="266" spans="1:8" x14ac:dyDescent="0.2">
      <c r="B266" s="1" t="s">
        <v>378</v>
      </c>
      <c r="E266" s="1" t="s">
        <v>379</v>
      </c>
    </row>
    <row r="269" spans="1:8" x14ac:dyDescent="0.2">
      <c r="A269" s="11">
        <v>15</v>
      </c>
      <c r="B269" s="5"/>
      <c r="C269" s="5"/>
      <c r="D269" s="5"/>
      <c r="E269" s="5"/>
      <c r="F269" s="5"/>
      <c r="G269" s="5"/>
      <c r="H269" s="5"/>
    </row>
    <row r="271" spans="1:8" x14ac:dyDescent="0.2">
      <c r="B271" s="1" t="s">
        <v>671</v>
      </c>
    </row>
    <row r="272" spans="1:8" x14ac:dyDescent="0.2">
      <c r="B272" s="168" t="s">
        <v>382</v>
      </c>
      <c r="C272" s="169"/>
      <c r="D272" s="169"/>
      <c r="E272" s="169"/>
      <c r="F272" s="169"/>
      <c r="G272" s="169"/>
      <c r="H272" s="169"/>
    </row>
    <row r="273" spans="1:8" x14ac:dyDescent="0.2">
      <c r="B273" s="168"/>
      <c r="C273" s="169"/>
      <c r="D273" s="169"/>
      <c r="E273" s="169"/>
      <c r="F273" s="169"/>
      <c r="G273" s="169"/>
      <c r="H273" s="169"/>
    </row>
    <row r="274" spans="1:8" x14ac:dyDescent="0.2">
      <c r="B274" s="168"/>
      <c r="C274" s="169"/>
      <c r="D274" s="169"/>
      <c r="E274" s="169"/>
      <c r="F274" s="169"/>
      <c r="G274" s="169"/>
      <c r="H274" s="169"/>
    </row>
    <row r="276" spans="1:8" x14ac:dyDescent="0.2">
      <c r="A276" s="11">
        <v>16</v>
      </c>
      <c r="B276" s="5"/>
      <c r="C276" s="5"/>
      <c r="D276" s="5"/>
      <c r="E276" s="5"/>
      <c r="F276" s="5"/>
      <c r="G276" s="5"/>
      <c r="H276" s="5"/>
    </row>
    <row r="278" spans="1:8" x14ac:dyDescent="0.2">
      <c r="A278" s="12" t="s">
        <v>4</v>
      </c>
      <c r="B278" s="1" t="s">
        <v>380</v>
      </c>
    </row>
    <row r="280" spans="1:8" x14ac:dyDescent="0.2">
      <c r="A280" s="12" t="s">
        <v>5</v>
      </c>
      <c r="B280" s="168" t="s">
        <v>381</v>
      </c>
      <c r="C280" s="169"/>
      <c r="D280" s="169"/>
      <c r="E280" s="169"/>
      <c r="F280" s="169"/>
      <c r="G280" s="169"/>
      <c r="H280" s="169"/>
    </row>
    <row r="281" spans="1:8" x14ac:dyDescent="0.2">
      <c r="B281" s="168"/>
      <c r="C281" s="169"/>
      <c r="D281" s="169"/>
      <c r="E281" s="169"/>
      <c r="F281" s="169"/>
      <c r="G281" s="169"/>
      <c r="H281" s="169"/>
    </row>
    <row r="326" spans="1:1" x14ac:dyDescent="0.2">
      <c r="A326" s="68"/>
    </row>
    <row r="327" spans="1:1" x14ac:dyDescent="0.2">
      <c r="A327" s="68"/>
    </row>
  </sheetData>
  <mergeCells count="6">
    <mergeCell ref="B136:I138"/>
    <mergeCell ref="B158:I161"/>
    <mergeCell ref="B280:H281"/>
    <mergeCell ref="B272:H274"/>
    <mergeCell ref="B176:O180"/>
    <mergeCell ref="B229:P2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FB3B-5419-5C49-BC9C-647EC25BB6BF}">
  <dimension ref="A1:J239"/>
  <sheetViews>
    <sheetView zoomScaleNormal="100" workbookViewId="0"/>
  </sheetViews>
  <sheetFormatPr baseColWidth="10" defaultRowHeight="16" x14ac:dyDescent="0.2"/>
  <cols>
    <col min="1" max="1" width="12.1640625" style="12" customWidth="1"/>
    <col min="2" max="6" width="10.83203125" style="1"/>
    <col min="7" max="7" width="15.83203125" style="1" bestFit="1" customWidth="1"/>
    <col min="8" max="16384" width="10.83203125" style="1"/>
  </cols>
  <sheetData>
    <row r="1" spans="1:8" x14ac:dyDescent="0.2">
      <c r="A1" s="9" t="s">
        <v>280</v>
      </c>
    </row>
    <row r="3" spans="1:8" x14ac:dyDescent="0.2">
      <c r="A3" s="11">
        <v>1</v>
      </c>
      <c r="B3" s="5"/>
      <c r="C3" s="5"/>
      <c r="D3" s="5"/>
      <c r="E3" s="5"/>
      <c r="F3" s="5"/>
      <c r="G3" s="5"/>
      <c r="H3" s="5"/>
    </row>
    <row r="5" spans="1:8" x14ac:dyDescent="0.2">
      <c r="B5" s="1" t="s">
        <v>426</v>
      </c>
    </row>
    <row r="7" spans="1:8" x14ac:dyDescent="0.2">
      <c r="B7" s="1" t="s">
        <v>425</v>
      </c>
    </row>
    <row r="8" spans="1:8" x14ac:dyDescent="0.2">
      <c r="B8" s="1" t="s">
        <v>422</v>
      </c>
      <c r="D8" s="79">
        <f>800000/40000</f>
        <v>20</v>
      </c>
    </row>
    <row r="10" spans="1:8" x14ac:dyDescent="0.2">
      <c r="B10" s="1" t="s">
        <v>423</v>
      </c>
    </row>
    <row r="11" spans="1:8" x14ac:dyDescent="0.2">
      <c r="B11" s="1" t="s">
        <v>424</v>
      </c>
    </row>
    <row r="14" spans="1:8" x14ac:dyDescent="0.2">
      <c r="A14" s="11">
        <v>2</v>
      </c>
      <c r="B14" s="5"/>
      <c r="C14" s="5"/>
      <c r="D14" s="5"/>
      <c r="E14" s="5"/>
      <c r="F14" s="5"/>
      <c r="G14" s="5"/>
      <c r="H14" s="5"/>
    </row>
    <row r="16" spans="1:8" x14ac:dyDescent="0.2">
      <c r="B16" s="1" t="s">
        <v>427</v>
      </c>
    </row>
    <row r="17" spans="1:10" x14ac:dyDescent="0.2">
      <c r="B17" s="1" t="s">
        <v>432</v>
      </c>
    </row>
    <row r="19" spans="1:10" x14ac:dyDescent="0.2">
      <c r="B19" s="1" t="s">
        <v>428</v>
      </c>
    </row>
    <row r="21" spans="1:10" x14ac:dyDescent="0.2">
      <c r="B21" s="1" t="s">
        <v>429</v>
      </c>
    </row>
    <row r="23" spans="1:10" x14ac:dyDescent="0.2">
      <c r="B23" s="1" t="s">
        <v>430</v>
      </c>
      <c r="G23" s="90">
        <f>(20000000 + 150000)/20.9</f>
        <v>964114.83253588527</v>
      </c>
      <c r="H23" s="1" t="s">
        <v>431</v>
      </c>
    </row>
    <row r="27" spans="1:10" x14ac:dyDescent="0.2">
      <c r="A27" s="11">
        <v>3</v>
      </c>
      <c r="B27" s="5"/>
      <c r="C27" s="5"/>
      <c r="D27" s="5"/>
      <c r="E27" s="5"/>
      <c r="F27" s="5"/>
      <c r="G27" s="5"/>
      <c r="H27" s="5"/>
    </row>
    <row r="29" spans="1:10" x14ac:dyDescent="0.2">
      <c r="A29" s="12" t="s">
        <v>4</v>
      </c>
      <c r="B29" s="1" t="s">
        <v>433</v>
      </c>
      <c r="G29" s="32">
        <f>(30+0.8)/(20*(1-0.07))</f>
        <v>1.655913978494624</v>
      </c>
      <c r="H29" s="1" t="s">
        <v>434</v>
      </c>
    </row>
    <row r="31" spans="1:10" x14ac:dyDescent="0.2">
      <c r="A31" s="12" t="s">
        <v>5</v>
      </c>
      <c r="B31" s="1" t="s">
        <v>435</v>
      </c>
      <c r="I31" s="91">
        <f>(22-20)*1.656</f>
        <v>3.3119999999999998</v>
      </c>
      <c r="J31" s="1" t="s">
        <v>436</v>
      </c>
    </row>
    <row r="33" spans="1:8" x14ac:dyDescent="0.2">
      <c r="A33" s="12" t="s">
        <v>6</v>
      </c>
      <c r="B33" s="1" t="s">
        <v>438</v>
      </c>
      <c r="E33" s="1">
        <f>0.07*20*1.656</f>
        <v>2.3184</v>
      </c>
    </row>
    <row r="34" spans="1:8" x14ac:dyDescent="0.2">
      <c r="B34" s="1" t="s">
        <v>437</v>
      </c>
      <c r="F34" s="91">
        <f xml:space="preserve"> 0.8 + I31 + E33</f>
        <v>6.4304000000000006</v>
      </c>
      <c r="G34" s="1" t="s">
        <v>436</v>
      </c>
    </row>
    <row r="37" spans="1:8" x14ac:dyDescent="0.2">
      <c r="A37" s="11">
        <v>4</v>
      </c>
      <c r="B37" s="5"/>
      <c r="C37" s="5"/>
      <c r="D37" s="5"/>
      <c r="E37" s="5"/>
      <c r="F37" s="5"/>
      <c r="G37" s="5"/>
      <c r="H37" s="5"/>
    </row>
    <row r="39" spans="1:8" x14ac:dyDescent="0.2">
      <c r="A39" s="12" t="s">
        <v>4</v>
      </c>
      <c r="B39" s="1" t="s">
        <v>439</v>
      </c>
    </row>
    <row r="41" spans="1:8" x14ac:dyDescent="0.2">
      <c r="B41" s="1" t="s">
        <v>440</v>
      </c>
    </row>
    <row r="43" spans="1:8" x14ac:dyDescent="0.2">
      <c r="B43" s="1" t="s">
        <v>441</v>
      </c>
    </row>
    <row r="45" spans="1:8" x14ac:dyDescent="0.2">
      <c r="A45" s="12" t="s">
        <v>5</v>
      </c>
      <c r="B45" s="1" t="s">
        <v>442</v>
      </c>
    </row>
    <row r="47" spans="1:8" x14ac:dyDescent="0.2">
      <c r="B47" s="1" t="s">
        <v>443</v>
      </c>
    </row>
    <row r="49" spans="1:9" x14ac:dyDescent="0.2">
      <c r="A49" s="12" t="s">
        <v>6</v>
      </c>
      <c r="B49" s="1" t="s">
        <v>444</v>
      </c>
    </row>
    <row r="51" spans="1:9" x14ac:dyDescent="0.2">
      <c r="B51" s="1" t="s">
        <v>445</v>
      </c>
    </row>
    <row r="55" spans="1:9" x14ac:dyDescent="0.2">
      <c r="A55" s="11">
        <v>5</v>
      </c>
      <c r="B55" s="5"/>
      <c r="C55" s="5"/>
      <c r="D55" s="5"/>
      <c r="E55" s="5"/>
      <c r="F55" s="5"/>
      <c r="G55" s="5"/>
      <c r="H55" s="5"/>
    </row>
    <row r="57" spans="1:9" x14ac:dyDescent="0.2">
      <c r="A57" s="12" t="s">
        <v>4</v>
      </c>
      <c r="B57" s="168" t="s">
        <v>448</v>
      </c>
      <c r="C57" s="169"/>
      <c r="D57" s="169"/>
      <c r="E57" s="169"/>
      <c r="F57" s="169"/>
      <c r="G57" s="169"/>
      <c r="H57" s="169"/>
      <c r="I57" s="169"/>
    </row>
    <row r="58" spans="1:9" x14ac:dyDescent="0.2">
      <c r="B58" s="168"/>
      <c r="C58" s="169"/>
      <c r="D58" s="169"/>
      <c r="E58" s="169"/>
      <c r="F58" s="169"/>
      <c r="G58" s="169"/>
      <c r="H58" s="169"/>
      <c r="I58" s="169"/>
    </row>
    <row r="60" spans="1:9" x14ac:dyDescent="0.2">
      <c r="B60" s="1" t="s">
        <v>446</v>
      </c>
    </row>
    <row r="62" spans="1:9" x14ac:dyDescent="0.2">
      <c r="B62" s="1" t="s">
        <v>447</v>
      </c>
    </row>
    <row r="64" spans="1:9" x14ac:dyDescent="0.2">
      <c r="B64" s="1" t="s">
        <v>394</v>
      </c>
    </row>
    <row r="65" spans="1:10" x14ac:dyDescent="0.2">
      <c r="B65" s="1" t="s">
        <v>449</v>
      </c>
      <c r="J65" s="1">
        <f xml:space="preserve"> (60/5) / (1-(1-0.07)/5)</f>
        <v>14.74201474201474</v>
      </c>
    </row>
    <row r="67" spans="1:10" x14ac:dyDescent="0.2">
      <c r="A67" s="12" t="s">
        <v>5</v>
      </c>
      <c r="B67" s="1" t="s">
        <v>450</v>
      </c>
      <c r="F67" s="91">
        <f>14.74 * (1-0.07)</f>
        <v>13.7082</v>
      </c>
      <c r="G67" s="1" t="s">
        <v>436</v>
      </c>
    </row>
    <row r="69" spans="1:10" x14ac:dyDescent="0.2">
      <c r="A69" s="12" t="s">
        <v>6</v>
      </c>
      <c r="B69" s="1" t="s">
        <v>453</v>
      </c>
      <c r="F69" s="66">
        <f>60/4</f>
        <v>15</v>
      </c>
    </row>
    <row r="70" spans="1:10" x14ac:dyDescent="0.2">
      <c r="B70" s="1" t="s">
        <v>451</v>
      </c>
      <c r="F70" s="79">
        <f xml:space="preserve"> (60+F67)/5</f>
        <v>14.74164</v>
      </c>
    </row>
    <row r="72" spans="1:10" x14ac:dyDescent="0.2">
      <c r="B72" s="1" t="s">
        <v>452</v>
      </c>
      <c r="F72" s="57">
        <f>ABS((F70-F69)/F69)</f>
        <v>1.7223999999999979E-2</v>
      </c>
    </row>
    <row r="74" spans="1:10" x14ac:dyDescent="0.2">
      <c r="B74" s="168" t="s">
        <v>454</v>
      </c>
      <c r="C74" s="169"/>
      <c r="D74" s="169"/>
      <c r="E74" s="169"/>
      <c r="F74" s="169"/>
      <c r="G74" s="169"/>
      <c r="H74" s="169"/>
      <c r="I74" s="169"/>
      <c r="J74" s="169"/>
    </row>
    <row r="75" spans="1:10" x14ac:dyDescent="0.2">
      <c r="B75" s="168"/>
      <c r="C75" s="169"/>
      <c r="D75" s="169"/>
      <c r="E75" s="169"/>
      <c r="F75" s="169"/>
      <c r="G75" s="169"/>
      <c r="H75" s="169"/>
      <c r="I75" s="169"/>
      <c r="J75" s="169"/>
    </row>
    <row r="76" spans="1:10" x14ac:dyDescent="0.2">
      <c r="B76" s="168"/>
      <c r="C76" s="169"/>
      <c r="D76" s="169"/>
      <c r="E76" s="169"/>
      <c r="F76" s="169"/>
      <c r="G76" s="169"/>
      <c r="H76" s="169"/>
      <c r="I76" s="169"/>
      <c r="J76" s="169"/>
    </row>
    <row r="146" spans="1:1" x14ac:dyDescent="0.2">
      <c r="A146" s="68"/>
    </row>
    <row r="238" spans="1:1" x14ac:dyDescent="0.2">
      <c r="A238" s="68"/>
    </row>
    <row r="239" spans="1:1" x14ac:dyDescent="0.2">
      <c r="A239" s="68"/>
    </row>
  </sheetData>
  <mergeCells count="2">
    <mergeCell ref="B57:I58"/>
    <mergeCell ref="B74:J7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B43A-F06D-0A4F-BB51-EA3A863701E1}">
  <dimension ref="A1:J243"/>
  <sheetViews>
    <sheetView zoomScaleNormal="100" workbookViewId="0"/>
  </sheetViews>
  <sheetFormatPr baseColWidth="10" defaultRowHeight="16" x14ac:dyDescent="0.2"/>
  <cols>
    <col min="1" max="1" width="12.1640625" style="12" customWidth="1"/>
    <col min="2" max="16384" width="10.83203125" style="1"/>
  </cols>
  <sheetData>
    <row r="1" spans="1:10" x14ac:dyDescent="0.2">
      <c r="A1" s="9" t="s">
        <v>281</v>
      </c>
    </row>
    <row r="3" spans="1:10" x14ac:dyDescent="0.2">
      <c r="A3" s="11">
        <v>1</v>
      </c>
      <c r="B3" s="5"/>
      <c r="C3" s="5"/>
      <c r="D3" s="5"/>
      <c r="E3" s="5"/>
      <c r="F3" s="5"/>
      <c r="G3" s="5"/>
      <c r="H3" s="5"/>
    </row>
    <row r="5" spans="1:10" x14ac:dyDescent="0.2">
      <c r="A5" s="12" t="s">
        <v>4</v>
      </c>
      <c r="B5" s="1" t="s">
        <v>383</v>
      </c>
    </row>
    <row r="7" spans="1:10" ht="16" customHeight="1" x14ac:dyDescent="0.2">
      <c r="A7" s="12" t="s">
        <v>5</v>
      </c>
      <c r="B7" s="168" t="s">
        <v>384</v>
      </c>
      <c r="C7" s="169"/>
      <c r="D7" s="169"/>
      <c r="E7" s="169"/>
      <c r="F7" s="169"/>
      <c r="G7" s="169"/>
      <c r="H7" s="169"/>
      <c r="I7" s="169"/>
      <c r="J7" s="169"/>
    </row>
    <row r="8" spans="1:10" x14ac:dyDescent="0.2">
      <c r="B8" s="168"/>
      <c r="C8" s="169"/>
      <c r="D8" s="169"/>
      <c r="E8" s="169"/>
      <c r="F8" s="169"/>
      <c r="G8" s="169"/>
      <c r="H8" s="169"/>
      <c r="I8" s="169"/>
      <c r="J8" s="169"/>
    </row>
    <row r="9" spans="1:10" x14ac:dyDescent="0.2">
      <c r="B9" s="168"/>
      <c r="C9" s="169"/>
      <c r="D9" s="169"/>
      <c r="E9" s="169"/>
      <c r="F9" s="169"/>
      <c r="G9" s="169"/>
      <c r="H9" s="169"/>
      <c r="I9" s="169"/>
      <c r="J9" s="169"/>
    </row>
    <row r="10" spans="1:10" x14ac:dyDescent="0.2">
      <c r="B10" s="168"/>
      <c r="C10" s="169"/>
      <c r="D10" s="169"/>
      <c r="E10" s="169"/>
      <c r="F10" s="169"/>
      <c r="G10" s="169"/>
      <c r="H10" s="169"/>
      <c r="I10" s="169"/>
      <c r="J10" s="169"/>
    </row>
    <row r="11" spans="1:10" x14ac:dyDescent="0.2">
      <c r="A11" s="12" t="s">
        <v>6</v>
      </c>
      <c r="B11" s="168" t="s">
        <v>385</v>
      </c>
      <c r="C11" s="169"/>
      <c r="D11" s="169"/>
      <c r="E11" s="169"/>
      <c r="F11" s="169"/>
      <c r="G11" s="169"/>
      <c r="H11" s="169"/>
      <c r="I11" s="169"/>
      <c r="J11" s="169"/>
    </row>
    <row r="12" spans="1:10" x14ac:dyDescent="0.2">
      <c r="B12" s="168"/>
      <c r="C12" s="169"/>
      <c r="D12" s="169"/>
      <c r="E12" s="169"/>
      <c r="F12" s="169"/>
      <c r="G12" s="169"/>
      <c r="H12" s="169"/>
      <c r="I12" s="169"/>
      <c r="J12" s="169"/>
    </row>
    <row r="16" spans="1:10" x14ac:dyDescent="0.2">
      <c r="A16" s="11">
        <v>2</v>
      </c>
      <c r="B16" s="5"/>
      <c r="C16" s="5"/>
      <c r="D16" s="5"/>
      <c r="E16" s="5"/>
      <c r="F16" s="5"/>
      <c r="G16" s="5"/>
      <c r="H16" s="5"/>
    </row>
    <row r="18" spans="1:10" x14ac:dyDescent="0.2">
      <c r="A18" s="12" t="s">
        <v>4</v>
      </c>
      <c r="B18" s="1" t="s">
        <v>386</v>
      </c>
    </row>
    <row r="20" spans="1:10" x14ac:dyDescent="0.2">
      <c r="A20" s="12" t="s">
        <v>5</v>
      </c>
      <c r="B20" s="168" t="s">
        <v>387</v>
      </c>
      <c r="C20" s="169"/>
      <c r="D20" s="169"/>
      <c r="E20" s="169"/>
      <c r="F20" s="169"/>
      <c r="G20" s="169"/>
      <c r="H20" s="169"/>
      <c r="I20" s="169"/>
      <c r="J20" s="169"/>
    </row>
    <row r="21" spans="1:10" x14ac:dyDescent="0.2">
      <c r="B21" s="168"/>
      <c r="C21" s="169"/>
      <c r="D21" s="169"/>
      <c r="E21" s="169"/>
      <c r="F21" s="169"/>
      <c r="G21" s="169"/>
      <c r="H21" s="169"/>
      <c r="I21" s="169"/>
      <c r="J21" s="169"/>
    </row>
    <row r="24" spans="1:10" x14ac:dyDescent="0.2">
      <c r="A24" s="11">
        <v>3</v>
      </c>
      <c r="B24" s="5"/>
      <c r="C24" s="5"/>
      <c r="D24" s="5"/>
      <c r="E24" s="5"/>
      <c r="F24" s="5"/>
      <c r="G24" s="5"/>
      <c r="H24" s="5"/>
    </row>
    <row r="26" spans="1:10" x14ac:dyDescent="0.2">
      <c r="A26" s="12" t="s">
        <v>4</v>
      </c>
      <c r="B26" s="1" t="s">
        <v>388</v>
      </c>
    </row>
    <row r="28" spans="1:10" x14ac:dyDescent="0.2">
      <c r="B28" s="1" t="s">
        <v>390</v>
      </c>
    </row>
    <row r="30" spans="1:10" x14ac:dyDescent="0.2">
      <c r="B30" s="1" t="s">
        <v>389</v>
      </c>
    </row>
    <row r="32" spans="1:10" x14ac:dyDescent="0.2">
      <c r="B32" s="1" t="s">
        <v>391</v>
      </c>
      <c r="G32" s="15">
        <f>0.8/20+0.06</f>
        <v>0.1</v>
      </c>
    </row>
    <row r="33" spans="1:7" x14ac:dyDescent="0.2">
      <c r="G33" s="15"/>
    </row>
    <row r="34" spans="1:7" x14ac:dyDescent="0.2">
      <c r="B34" s="1" t="s">
        <v>394</v>
      </c>
    </row>
    <row r="35" spans="1:7" x14ac:dyDescent="0.2">
      <c r="B35" s="1" t="s">
        <v>392</v>
      </c>
      <c r="D35" s="84">
        <f xml:space="preserve"> 0.8 / (0.1 - 0.08)</f>
        <v>39.999999999999993</v>
      </c>
      <c r="E35" s="1" t="s">
        <v>393</v>
      </c>
    </row>
    <row r="37" spans="1:7" x14ac:dyDescent="0.2">
      <c r="A37" s="12" t="s">
        <v>5</v>
      </c>
      <c r="B37" s="1" t="s">
        <v>395</v>
      </c>
    </row>
    <row r="39" spans="1:7" x14ac:dyDescent="0.2">
      <c r="B39" s="1" t="s">
        <v>396</v>
      </c>
    </row>
    <row r="41" spans="1:7" x14ac:dyDescent="0.2">
      <c r="B41" s="1" t="s">
        <v>397</v>
      </c>
    </row>
    <row r="43" spans="1:7" x14ac:dyDescent="0.2">
      <c r="A43" s="12" t="s">
        <v>6</v>
      </c>
      <c r="B43" s="1" t="s">
        <v>398</v>
      </c>
    </row>
    <row r="44" spans="1:7" x14ac:dyDescent="0.2">
      <c r="B44" s="42" t="s">
        <v>399</v>
      </c>
      <c r="C44" s="5"/>
      <c r="D44" s="5"/>
    </row>
    <row r="45" spans="1:7" x14ac:dyDescent="0.2">
      <c r="B45" s="1" t="s">
        <v>400</v>
      </c>
      <c r="D45" s="1" t="s">
        <v>401</v>
      </c>
    </row>
    <row r="47" spans="1:7" x14ac:dyDescent="0.2">
      <c r="B47" s="1" t="s">
        <v>402</v>
      </c>
    </row>
    <row r="49" spans="1:4" x14ac:dyDescent="0.2">
      <c r="B49" s="1" t="s">
        <v>403</v>
      </c>
    </row>
    <row r="51" spans="1:4" x14ac:dyDescent="0.2">
      <c r="A51" s="12" t="s">
        <v>12</v>
      </c>
      <c r="B51" s="1" t="s">
        <v>404</v>
      </c>
    </row>
    <row r="52" spans="1:4" x14ac:dyDescent="0.2">
      <c r="B52" s="1" t="s">
        <v>405</v>
      </c>
    </row>
    <row r="53" spans="1:4" x14ac:dyDescent="0.2">
      <c r="B53" s="1" t="s">
        <v>406</v>
      </c>
    </row>
    <row r="55" spans="1:4" x14ac:dyDescent="0.2">
      <c r="B55" s="1" t="s">
        <v>407</v>
      </c>
    </row>
    <row r="56" spans="1:4" x14ac:dyDescent="0.2">
      <c r="B56" s="1" t="s">
        <v>408</v>
      </c>
    </row>
    <row r="58" spans="1:4" x14ac:dyDescent="0.2">
      <c r="B58" s="27" t="s">
        <v>409</v>
      </c>
    </row>
    <row r="59" spans="1:4" x14ac:dyDescent="0.2">
      <c r="B59" s="42" t="s">
        <v>399</v>
      </c>
      <c r="C59" s="5"/>
      <c r="D59" s="5"/>
    </row>
    <row r="60" spans="1:4" x14ac:dyDescent="0.2">
      <c r="B60" s="1" t="s">
        <v>400</v>
      </c>
      <c r="C60" s="1" t="s">
        <v>410</v>
      </c>
    </row>
    <row r="62" spans="1:4" x14ac:dyDescent="0.2">
      <c r="B62" s="1" t="s">
        <v>411</v>
      </c>
    </row>
    <row r="64" spans="1:4" x14ac:dyDescent="0.2">
      <c r="B64" s="1" t="s">
        <v>403</v>
      </c>
    </row>
    <row r="66" spans="1:4" x14ac:dyDescent="0.2">
      <c r="A66" s="12" t="s">
        <v>412</v>
      </c>
      <c r="B66" s="1" t="s">
        <v>413</v>
      </c>
    </row>
    <row r="68" spans="1:4" x14ac:dyDescent="0.2">
      <c r="A68" s="12" t="s">
        <v>414</v>
      </c>
      <c r="B68" s="1" t="s">
        <v>415</v>
      </c>
    </row>
    <row r="69" spans="1:4" x14ac:dyDescent="0.2">
      <c r="B69" s="1" t="s">
        <v>416</v>
      </c>
    </row>
    <row r="70" spans="1:4" x14ac:dyDescent="0.2">
      <c r="B70" s="1" t="s">
        <v>417</v>
      </c>
    </row>
    <row r="72" spans="1:4" x14ac:dyDescent="0.2">
      <c r="B72" s="27" t="s">
        <v>418</v>
      </c>
    </row>
    <row r="73" spans="1:4" x14ac:dyDescent="0.2">
      <c r="B73" s="42" t="s">
        <v>399</v>
      </c>
      <c r="C73" s="5"/>
      <c r="D73" s="5"/>
    </row>
    <row r="74" spans="1:4" x14ac:dyDescent="0.2">
      <c r="B74" s="1" t="s">
        <v>400</v>
      </c>
      <c r="D74" s="1" t="s">
        <v>419</v>
      </c>
    </row>
    <row r="76" spans="1:4" x14ac:dyDescent="0.2">
      <c r="B76" s="1" t="s">
        <v>420</v>
      </c>
    </row>
    <row r="78" spans="1:4" x14ac:dyDescent="0.2">
      <c r="B78" s="1" t="s">
        <v>421</v>
      </c>
    </row>
    <row r="150" spans="1:1" x14ac:dyDescent="0.2">
      <c r="A150" s="68"/>
    </row>
    <row r="242" spans="1:1" x14ac:dyDescent="0.2">
      <c r="A242" s="68"/>
    </row>
    <row r="243" spans="1:1" x14ac:dyDescent="0.2">
      <c r="A243" s="68"/>
    </row>
  </sheetData>
  <mergeCells count="3">
    <mergeCell ref="B7:J10"/>
    <mergeCell ref="B11:J12"/>
    <mergeCell ref="B20: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vt:lpstr>
      <vt:lpstr>Part 1</vt:lpstr>
      <vt:lpstr>Part 2</vt:lpstr>
      <vt:lpstr>Part 3</vt:lpstr>
      <vt:lpstr>Part 4</vt:lpstr>
      <vt:lpstr>Part 5</vt:lpstr>
      <vt:lpstr>Part 6</vt:lpstr>
      <vt:lpstr>Part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Matos Mendes, Diogo G</dc:creator>
  <cp:lastModifiedBy>Diogo De Matos Mendes</cp:lastModifiedBy>
  <dcterms:created xsi:type="dcterms:W3CDTF">2020-11-29T10:25:10Z</dcterms:created>
  <dcterms:modified xsi:type="dcterms:W3CDTF">2024-03-16T07:32:35Z</dcterms:modified>
</cp:coreProperties>
</file>